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695" activeTab="0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Korr" sheetId="5" state="hidden" r:id="rId5"/>
    <sheet name="Texte" sheetId="6" state="hidden" r:id="rId6"/>
  </sheets>
  <definedNames>
    <definedName name="AusblendSpalten" localSheetId="1">'Bilanz-bilan'!$V:$AG</definedName>
    <definedName name="AusblendSpalten" localSheetId="0">'README'!$I:$O</definedName>
    <definedName name="AusblendZeilen" localSheetId="1">'Bilanz-bilan'!$264:$321</definedName>
    <definedName name="_xlnm.Print_Area" localSheetId="1">'Bilanz-bilan'!$B$2:$S$94,'Bilanz-bilan'!$B$96:$S$192</definedName>
    <definedName name="_xlnm.Print_Area" localSheetId="3">'budget_partiel'!$A$1:$M$57</definedName>
    <definedName name="_xlnm.Print_Area" localSheetId="0">'README'!$A$1:$G$50</definedName>
    <definedName name="Druckbereich_MuKu" localSheetId="1">'Bilanz-bilan'!$B$2:$T$94,'Bilanz-bilan'!$B$96:$T$192</definedName>
    <definedName name="Druckbereich_Normal" localSheetId="1">'Bilanz-bilan'!$B$2:$S$94,'Bilanz-bilan'!$B$96:$S$192</definedName>
    <definedName name="ID">"nicht identifiziert"</definedName>
    <definedName name="MuKuCoverTopLeft" localSheetId="1">'Bilanz-bilan'!$Q$96</definedName>
    <definedName name="SprachIdx" localSheetId="5">'Texte'!$A$2</definedName>
    <definedName name="Startzelle" localSheetId="1">'Bilanz-bilan'!$A$1</definedName>
    <definedName name="Startzelle" localSheetId="3">'budget_partiel'!$A$1</definedName>
    <definedName name="StartZelle" localSheetId="4">'Korr'!A1</definedName>
    <definedName name="Startzelle" localSheetId="0">'README'!$A$1</definedName>
    <definedName name="Startzelle" localSheetId="5">'Texte'!$A$1</definedName>
    <definedName name="Z_AB7369C7_DE08_4AD5_A530_2D676F998F11_.wvu.Cols" localSheetId="1" hidden="1">'Bilanz-bilan'!$AI:$AK</definedName>
    <definedName name="Z_AB7369C7_DE08_4AD5_A530_2D676F998F11_.wvu.Cols" localSheetId="2" hidden="1">'Daten'!#REF!</definedName>
    <definedName name="Z_AB7369C7_DE08_4AD5_A530_2D676F998F11_.wvu.PrintArea" localSheetId="1" hidden="1">'Bilanz-bilan'!$A$2:$AK$191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sharedStrings.xml><?xml version="1.0" encoding="utf-8"?>
<sst xmlns="http://schemas.openxmlformats.org/spreadsheetml/2006/main" count="1703" uniqueCount="1358">
  <si>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</si>
  <si>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</si>
  <si>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</si>
  <si>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</si>
  <si>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</si>
  <si>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</si>
  <si>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</si>
  <si>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</si>
  <si>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</si>
  <si>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</si>
  <si>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</si>
  <si>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</si>
  <si>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</si>
  <si>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</si>
  <si>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</si>
  <si>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</si>
  <si>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</si>
  <si>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</si>
  <si>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</si>
  <si>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</si>
  <si>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</si>
  <si>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</si>
  <si>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</si>
  <si>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</si>
  <si>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</si>
  <si>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</si>
  <si>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</si>
  <si>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</si>
  <si>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</si>
  <si>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</si>
  <si>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</si>
  <si>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</si>
  <si>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</si>
  <si>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</si>
  <si>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</si>
  <si>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</si>
  <si>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</si>
  <si>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</si>
  <si>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</si>
  <si>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</si>
  <si>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</si>
  <si>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</si>
  <si>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</si>
  <si>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</si>
  <si>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</si>
  <si>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</si>
  <si>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</si>
  <si>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</si>
  <si>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</si>
  <si>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</si>
  <si>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</si>
  <si>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</si>
  <si>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</si>
  <si>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</si>
  <si>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</si>
  <si>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</si>
  <si>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</si>
  <si>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</si>
  <si>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</si>
  <si>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</si>
  <si>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</si>
  <si>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</si>
  <si>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</si>
  <si>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</si>
  <si>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</si>
  <si>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</si>
  <si>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</si>
  <si>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</si>
  <si>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</si>
  <si>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</si>
  <si>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</si>
  <si>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</si>
  <si>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</si>
  <si>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</si>
  <si>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</si>
  <si>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</si>
  <si>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Mutterkuhvorhang verlängert, Jahreszahlen im Infotext angepasst</t>
  </si>
  <si>
    <t>Anpassungen neue Version: KF MiK, Einfügen Getreide-Silage als Kultur in B und C</t>
  </si>
  <si>
    <t>(160*0.13+205*0.33+60*0.4)/400</t>
  </si>
  <si>
    <t>(120*0.1+245*0.3+60*0.4)/365</t>
  </si>
  <si>
    <t>(95*0.33+135*0.4)/365</t>
  </si>
  <si>
    <t>(95*0.3+135*0.4)/365</t>
  </si>
  <si>
    <t>Rindviehmast intensiv, 65-520 kg</t>
  </si>
  <si>
    <t>Rindviehmast Tränker &lt; 4 Mte.</t>
  </si>
  <si>
    <t>Rindviehmast intensiv &gt; 4 Monate</t>
  </si>
  <si>
    <t>Rindviehmast Weidemast &gt; 4 Monate</t>
  </si>
  <si>
    <t>Rindviehmast, intensive Ausmast</t>
  </si>
  <si>
    <t>Bovin à l'engrais, intensif, 65-520 kg</t>
  </si>
  <si>
    <t>Bovini da ingrasso, intensivo, 65-520 kg</t>
  </si>
  <si>
    <t>Bovin à l'engrais, sevrage, &lt; 4 mois</t>
  </si>
  <si>
    <t>Bovini da ingrasso, svezzamento &lt; 4 mesi</t>
  </si>
  <si>
    <t>Bovin à l'engrais, intensif, &gt; 4 mois</t>
  </si>
  <si>
    <t>Bovini da ingrasso, intensivo &gt; 4 mesi</t>
  </si>
  <si>
    <t>Bovin à l'engrais, pâturage, &gt; 4 mois</t>
  </si>
  <si>
    <t>Bovini da ingrasso, pascolo &gt; 4 mesi</t>
  </si>
  <si>
    <t>Bovin à l'engrais finition (intensive)</t>
  </si>
  <si>
    <t>Bovini da ingrasso, finissaggio intensivo</t>
  </si>
  <si>
    <t>GMF_120</t>
  </si>
  <si>
    <t>alte RiV-Mastkategorien wieder integriert; Jahreszahlen Infotext auf 2018 angepasst; Wiesen-&amp;Weidefutter für Kaninchen, Strausse als Eingabefeld definiert (gelb)</t>
  </si>
  <si>
    <t>IWE</t>
  </si>
  <si>
    <t>Insilato di cereali con leguminose</t>
  </si>
  <si>
    <t>Insilato di cereali</t>
  </si>
  <si>
    <t>Version: 1.6</t>
  </si>
  <si>
    <t>version: 1.6</t>
  </si>
  <si>
    <t>Versione: 1.6</t>
  </si>
  <si>
    <t>dazugehörende Suisse-Bilanz Aufl. 1.15</t>
  </si>
  <si>
    <t>correspondant Suisse-Bilanz Edition 1.15</t>
  </si>
  <si>
    <t>rispettivo Suisse-Bilanz Versione 1.15</t>
  </si>
  <si>
    <t>Nebenprodukte Trocken- und Schälmüllerei</t>
  </si>
  <si>
    <t>Rau- und Saftfutter</t>
  </si>
  <si>
    <t>Nebenprodukte</t>
  </si>
  <si>
    <t>(C6)</t>
  </si>
  <si>
    <t>C7: Zuzüglich Lagerungs- und Krippenverluste, 0-5% vom Netto-Grundfutterbedarf</t>
  </si>
  <si>
    <t>C8: Fehlerbereich der Grundfutterbilanz: 0-5% vom Netto-Grundfutterbedarf</t>
  </si>
  <si>
    <t xml:space="preserve">C7: Pertes de conservation et à la crèche : 0-5% des besoins nets en fourrages   </t>
  </si>
  <si>
    <t xml:space="preserve">C8: Marge d'erreur sur le bilan de matière sèche (MS) : 0-5% des besoins nets en fourrages </t>
  </si>
  <si>
    <t xml:space="preserve">C7: più perdite da stoccaggio e da foraggiamento, 0,5% del fabbisogno foraggio di base netto </t>
  </si>
  <si>
    <t>C8: margine d'errore del bilancio del foraggio di base:0-5%</t>
  </si>
  <si>
    <t>Biertreber, frisch oder siliert</t>
  </si>
  <si>
    <t>Biertreber, getrocknet</t>
  </si>
  <si>
    <t>(A5+A6+A7+C6+C7+C8)</t>
  </si>
  <si>
    <t>KF+MNP</t>
  </si>
  <si>
    <t xml:space="preserve">    - Se i dati dell'estivazione sono registrati, è necessario dichiarare la quantità di</t>
  </si>
  <si>
    <t xml:space="preserve">       forragio concentrato nel piano di foraggio.</t>
  </si>
  <si>
    <t>C6: Total Zufuhr Nebenprodukte aus Verarbeitung Lebensmittel</t>
  </si>
  <si>
    <t>GMF_121</t>
  </si>
  <si>
    <t>übersetungen Ital. Vervollständigt</t>
  </si>
  <si>
    <t>GMF_122</t>
  </si>
  <si>
    <t>Umsetzung MNP im Entwurf</t>
  </si>
  <si>
    <t>GMF_123</t>
  </si>
  <si>
    <t>GMF_124</t>
  </si>
  <si>
    <t>Ausmastkuh</t>
  </si>
  <si>
    <t>Galtkuh</t>
  </si>
  <si>
    <t>Vache de réforme</t>
  </si>
  <si>
    <t>Vacca da riforme</t>
  </si>
  <si>
    <t>Vache tarie</t>
  </si>
  <si>
    <t>Vacca da asciutta</t>
  </si>
  <si>
    <t>Jungvieh, &lt; 160 Tage alt</t>
  </si>
  <si>
    <t>Bovin d'élevage moins de 160 jours</t>
  </si>
  <si>
    <t>Bestiame giovane &lt; 160 giorni</t>
  </si>
  <si>
    <t>Jungvieh, 160-365 Tage alt</t>
  </si>
  <si>
    <t>Bovin d'élevage, 160-365 jours</t>
  </si>
  <si>
    <t>Bestiame giovane,160-365 giorni</t>
  </si>
  <si>
    <t>Mastschweineplatz / Remonten (26-108 kg)</t>
  </si>
  <si>
    <t>Porc à l'engrais/remonte (PPE) de 26-108 kg</t>
  </si>
  <si>
    <t>Posta suini da ingrasso / rimonte (26-108 kg)</t>
  </si>
  <si>
    <t>Mastschweine / Remonten (26-108 kg)</t>
  </si>
  <si>
    <t>Porc à l'engrais/remonte de 26-108 kg</t>
  </si>
  <si>
    <t>Suini da ingrasso / rimonte (26-108 kg)</t>
  </si>
  <si>
    <t>Zuchtschweine inkl. Ferkel bis 26 kg</t>
  </si>
  <si>
    <t>Truie d'élevage, porcelets inclus jusqu'à 26 kg</t>
  </si>
  <si>
    <t>Ferkel abgesetzt, 8-26 kg, 9.61 Umtriebe</t>
  </si>
  <si>
    <t>Porcelet sevré, 8-26 kg, 9.61 rotations</t>
  </si>
  <si>
    <t>Suini da allevamento incl. suinetti fino a 26 kg</t>
  </si>
  <si>
    <t>Ferkel abgesetzt, 8-26 kg</t>
  </si>
  <si>
    <t>Porcelet sevré, 8-26 kg</t>
  </si>
  <si>
    <t>Suinetti svezzati fino, 8-26 kg</t>
  </si>
  <si>
    <t>Zuchtschweine, säugend, 9.86 Umtriebe</t>
  </si>
  <si>
    <t>Scrofe riproduttrici, in lattazione, 9.86 cicli</t>
  </si>
  <si>
    <t>Suinetti svezzati, 8-26 kg, 9.61 cicli</t>
  </si>
  <si>
    <t>Galtsauenplatz, 2.94 Umtriebe</t>
  </si>
  <si>
    <t>Truie non allaitante, 2.94 rotations</t>
  </si>
  <si>
    <t>Posta da scrofa in asciutta, 2.94 cicli</t>
  </si>
  <si>
    <t>Truie allaitante, 9.86 rotations</t>
  </si>
  <si>
    <t>Truie allaitante, par rotation</t>
  </si>
  <si>
    <t>ripartizione del lavoro</t>
  </si>
  <si>
    <t>arbeitsteiliger Produktion</t>
  </si>
  <si>
    <t>répartition du travail</t>
  </si>
  <si>
    <t>45-100</t>
  </si>
  <si>
    <t>65-135</t>
  </si>
  <si>
    <t>GMF_125</t>
  </si>
  <si>
    <t>übrige Anpassungen für 1.6 (KF MiK, neue Kategorien, TS-Verz. GRUD)</t>
  </si>
  <si>
    <t>Sous-produits (mouture, décorticage)</t>
  </si>
  <si>
    <t>Sottoprodotti (molitura, mondatura)</t>
  </si>
  <si>
    <t>Drêches de brasserie, sêchée</t>
  </si>
  <si>
    <t>Trebbie di birra, essiccate</t>
  </si>
  <si>
    <t>Trebbie di birra, fresche o insilati</t>
  </si>
  <si>
    <t>Drêches de brasserie, fraîches ou ensilées</t>
  </si>
  <si>
    <t xml:space="preserve">Tierbestand in der Periode vom 1.1.2019 - 31.12.2019. Weil dieser zur Zeit noch nicht bekannt ist, </t>
  </si>
  <si>
    <t>d’animaux pour la période 1.1.2019 – 31.12.2019. Comme ces derniers ne sont pas encore connus, le montant</t>
  </si>
  <si>
    <t>animali per il periodo 1.1.2019 – 31.12.2019. Siccome questi ultimi non sono ancora noti, l'importo</t>
  </si>
  <si>
    <t xml:space="preserve">Die Berechnung des massgebenden Tierbesatzes für die Futterbilanz 2019 basiert auf dem effektiven </t>
  </si>
  <si>
    <t>Le calcul de la charge effective en bétail pour le bilan fourrager 2019 s’appuie sur les effectifs déterminants</t>
  </si>
  <si>
    <t xml:space="preserve">Il calcolo del carico effettivo di bestiame per il bilancio foraggero 2019 si basa sugli effettivi </t>
  </si>
  <si>
    <t>Nebenprodukte+Kraftfutter ≤</t>
  </si>
  <si>
    <t>ausblenden U-AF</t>
  </si>
  <si>
    <t>Übriges</t>
  </si>
  <si>
    <t xml:space="preserve">Grundfutter </t>
  </si>
  <si>
    <t>Wiesen- &amp;</t>
  </si>
  <si>
    <t>pâturages</t>
  </si>
  <si>
    <t xml:space="preserve">prairies et </t>
  </si>
  <si>
    <t>Fourrages</t>
  </si>
  <si>
    <t>.</t>
  </si>
  <si>
    <t>di base</t>
  </si>
  <si>
    <t>Altri foraggi</t>
  </si>
  <si>
    <t>fourrages</t>
  </si>
  <si>
    <t>Co-produits</t>
  </si>
  <si>
    <t>Fourr. gross. &amp; humides</t>
  </si>
  <si>
    <t>Sottoprodotti</t>
  </si>
  <si>
    <t>forag. grezzo&amp;verde</t>
  </si>
  <si>
    <t>GMF_126</t>
  </si>
  <si>
    <t xml:space="preserve">ergänzung des Textes "Nebenprodukte+KF &lt; 15%" in Bilanz; Formeln MuK in Q134-152 anpassen, mit Rundung; GFVerz Sömmerung MIK korr.; Korrektur Formel in L158; Ausblendspalten neu U:AF; Div. Durch Null in O218; </t>
  </si>
  <si>
    <t>italienische Übersetzungen eingefügt; Zellbezüge korrigiert in 130-134 und 166-167; aufteilen des Textes in MUK-Bilanz auf 3 Zeilen, dafür 2 neue Zeilen einfügen</t>
  </si>
  <si>
    <t>Makro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</si>
  <si>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</si>
  <si>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</si>
  <si>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</si>
  <si>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</si>
  <si>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</si>
  <si>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</si>
  <si>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</si>
  <si>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</si>
  <si>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</si>
  <si>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</si>
  <si>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</si>
  <si>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</si>
  <si>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</si>
  <si>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</si>
  <si>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</si>
  <si>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</si>
  <si>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</si>
  <si>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</si>
  <si>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</si>
  <si>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</si>
  <si>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</si>
  <si>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</si>
  <si>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</si>
  <si>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</si>
  <si>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</si>
  <si>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</si>
  <si>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</si>
  <si>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</si>
  <si>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</si>
  <si>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</si>
  <si>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</si>
  <si>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</si>
  <si>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</si>
  <si>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</si>
  <si>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</si>
  <si>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</si>
  <si>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</si>
  <si>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</si>
  <si>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</si>
  <si>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</si>
  <si>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</si>
  <si>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</si>
  <si>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</si>
  <si>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</si>
  <si>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</si>
  <si>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</si>
  <si>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</si>
  <si>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</si>
  <si>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</si>
  <si>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</si>
  <si>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</si>
  <si>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</si>
  <si>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</si>
  <si>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</si>
  <si>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</si>
  <si>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</si>
  <si>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</si>
  <si>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</si>
  <si>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</si>
  <si>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</si>
  <si>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</si>
  <si>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</si>
  <si>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</si>
  <si>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</si>
  <si>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</si>
  <si>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</si>
  <si>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</si>
  <si>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</si>
  <si>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</si>
  <si>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</si>
  <si>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</si>
  <si>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</si>
  <si>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</si>
  <si>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</si>
  <si>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</si>
  <si>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</si>
  <si>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</si>
  <si>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</si>
  <si>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</si>
  <si>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</si>
  <si>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</si>
  <si>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</si>
  <si>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</si>
  <si>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</si>
  <si>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</si>
  <si>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</si>
  <si>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</si>
  <si>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</si>
  <si>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</si>
  <si>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</si>
  <si>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</si>
  <si>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</si>
  <si>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</si>
  <si>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</si>
  <si>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</si>
  <si>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</si>
  <si>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</si>
  <si>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</si>
  <si>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</si>
  <si>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</si>
  <si>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</si>
  <si>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</si>
  <si>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</si>
  <si>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</si>
  <si>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</si>
  <si>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</si>
  <si>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</si>
  <si>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</si>
  <si>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</si>
  <si>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</si>
  <si>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</si>
  <si>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</si>
  <si>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</si>
  <si>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</si>
  <si>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</si>
  <si>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</si>
  <si>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</si>
  <si>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</si>
  <si>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</si>
  <si>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</si>
  <si>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</si>
  <si>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</si>
  <si>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</si>
  <si>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</si>
  <si>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</si>
  <si>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</si>
  <si>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</si>
  <si>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</si>
  <si>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</si>
  <si>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</si>
  <si>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</si>
  <si>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</si>
  <si>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</si>
  <si>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</si>
  <si>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</si>
  <si>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</si>
  <si>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</si>
  <si>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</si>
  <si>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</si>
  <si>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</si>
  <si>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</si>
  <si>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</si>
  <si>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</si>
  <si>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</si>
  <si>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</si>
  <si>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</si>
  <si>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</si>
  <si>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</si>
  <si>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</si>
  <si>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</si>
  <si>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</si>
  <si>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</si>
  <si>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</si>
  <si>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</si>
  <si>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</si>
  <si>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</si>
  <si>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</si>
  <si>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</si>
  <si>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</si>
  <si>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</si>
  <si>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</si>
  <si>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</si>
  <si>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</si>
  <si>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</si>
  <si>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</si>
  <si>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</si>
  <si>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</si>
  <si>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</si>
  <si>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</si>
  <si>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</si>
  <si>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</si>
  <si>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</si>
  <si>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</si>
  <si>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</si>
  <si>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</si>
  <si>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</si>
  <si>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</si>
  <si>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</si>
  <si>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</si>
  <si>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</si>
  <si>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</si>
  <si>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</si>
  <si>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</si>
  <si>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</si>
  <si>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</si>
  <si>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</si>
  <si>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</si>
  <si>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</si>
  <si>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</si>
  <si>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</si>
  <si>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</si>
  <si>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</si>
  <si>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</si>
  <si>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</si>
  <si>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</si>
  <si>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</si>
  <si>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</si>
  <si>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</si>
  <si>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</si>
  <si>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</si>
  <si>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</si>
  <si>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</si>
  <si>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</si>
  <si>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</si>
  <si>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</si>
  <si>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</si>
  <si>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</si>
  <si>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</si>
  <si>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</si>
  <si>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</si>
  <si>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</si>
  <si>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</si>
  <si>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</si>
  <si>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</si>
  <si>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</si>
  <si>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</si>
  <si>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</si>
  <si>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</si>
  <si>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</si>
  <si>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</si>
  <si>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</si>
  <si>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</si>
  <si>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</si>
  <si>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</si>
  <si>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</si>
  <si>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</si>
  <si>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</si>
  <si>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</si>
  <si>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</si>
  <si>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</si>
  <si>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</si>
  <si>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</si>
  <si>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</si>
  <si>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</si>
  <si>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</si>
  <si>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</si>
  <si>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</si>
  <si>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</si>
  <si>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</si>
  <si>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</si>
  <si>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</si>
  <si>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</si>
  <si>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</si>
  <si>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</si>
  <si>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</si>
  <si>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</si>
  <si>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</si>
  <si>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</si>
  <si>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</si>
  <si>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</si>
  <si>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</si>
  <si>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</si>
  <si>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</si>
  <si>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</si>
  <si>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</si>
  <si>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</si>
  <si>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</si>
  <si>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</si>
  <si>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</si>
  <si>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</si>
  <si>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(B2+A6+C3-C1-A3)</t>
  </si>
  <si>
    <t>(A4+A7 in TS)</t>
  </si>
  <si>
    <t>GMF_115</t>
  </si>
  <si>
    <t>GMF_116</t>
  </si>
  <si>
    <t>GMF_117</t>
  </si>
  <si>
    <t>GMF_118</t>
  </si>
  <si>
    <t>GMF_119</t>
  </si>
  <si>
    <t xml:space="preserve">Anpassungen neue Version: KF MiK, </t>
  </si>
  <si>
    <t>Berechnung: Menge KF MiK total/Anz. = durchschn. Menge KF/Kuh/Jahr</t>
  </si>
  <si>
    <t>Berechnung: Menge KF andere Kühe total/Anz. = durchschn. Menge KF/Kuh/Jahr</t>
  </si>
  <si>
    <t>zulässiges KF auf Sömmerung kg/Tier/Tag</t>
  </si>
  <si>
    <t>Milchschafe</t>
  </si>
  <si>
    <t>Milchziegen</t>
  </si>
  <si>
    <t>KF-Menge Sömmerung über zulässiger Menge</t>
  </si>
  <si>
    <t>Cheval &lt; 180 jours, &gt; 148 cm*</t>
  </si>
  <si>
    <t>Cheval &gt; 180 jours, &gt; 148 cm*</t>
  </si>
  <si>
    <t>Mulet et bardot, &lt; 180 jours, indépendant d'hauteur</t>
  </si>
  <si>
    <t>Mulet et bardot, &gt; 180 jours, indépendant d'hauteur</t>
  </si>
  <si>
    <t>Poney**, petit cheval, âne, de tout âge, &lt; 148 cm</t>
  </si>
  <si>
    <t>Cavallo &lt; 180 g, &gt; 148cm*</t>
  </si>
  <si>
    <t>Cavallo &gt; 180 g, &gt; 148cm*</t>
  </si>
  <si>
    <t>Muli o bardotti &lt; 180 g, indip altezza al garrese</t>
  </si>
  <si>
    <t>Muli o bardotti &gt; 180 g, indip altezza al garrese</t>
  </si>
  <si>
    <t>Pony**, piccoli cavalli e asini di agni età, &lt; 148 cm</t>
  </si>
  <si>
    <t>Maultiere, Maulesel &lt; 180 d, unabh. Widerristhöhe</t>
  </si>
  <si>
    <t>Maultiere, Maulesel &gt; 180 d, unabh. Widerristhöhe</t>
  </si>
  <si>
    <t>Pferde &lt; 180 d, &gt; 148 cm*</t>
  </si>
  <si>
    <t>Pferde &gt; 180 d, &gt; 148 cm*</t>
  </si>
  <si>
    <t>Ponys**, Kleinpferde und Esel, jeden Alters, &lt; 148 cm</t>
  </si>
  <si>
    <t>Bisons über 900 d</t>
  </si>
  <si>
    <t>Bisons bis 900 d</t>
  </si>
  <si>
    <t>Bison moins de 900 jours</t>
  </si>
  <si>
    <t>Bison plus de 900 jours</t>
  </si>
  <si>
    <t>Bisonti di oltre 900 giorni</t>
  </si>
  <si>
    <t>Bisonti fino a 900 giorni</t>
  </si>
  <si>
    <t xml:space="preserve">    - Falls die Sömmerung erfasst wird, muss die effektiv verfütterte Menge an</t>
  </si>
  <si>
    <t xml:space="preserve">      Kraftfutter zwingend in der Futterbilanz deklariert werden. </t>
  </si>
  <si>
    <t xml:space="preserve">      Milchschafe und Milchziegen. Maximal 1 kg KF/Kuh/d, 0.25 kg/Schaf/d, 0.2kg/Ziege/d</t>
  </si>
  <si>
    <t xml:space="preserve">    - Si les données concernant l’estivage sont saisies, la quantité de concentré affouragée</t>
  </si>
  <si>
    <t xml:space="preserve">       durant l’estivage doit impérativement être déclarée dans le bilan fourrager.</t>
  </si>
  <si>
    <t xml:space="preserve">      traits des catégories suivantes : vaches laitières, chèvres et brebis. Quantité maximale 1kg/v.laitière/d, 0.25 kg/brebis/d, 0.2/chèvre/d</t>
  </si>
  <si>
    <t xml:space="preserve">      munti delle seguenti categorie: vacche da latte, capre e pecore. Quantità max 1 kg/vacche/d, 0.25 kg/capre, 0.2/pecore/d </t>
  </si>
  <si>
    <t>Céréales d’ensilage</t>
  </si>
  <si>
    <t>Céréales d’ensilage avec légumineuses</t>
  </si>
  <si>
    <t>Getreide-Silage</t>
  </si>
  <si>
    <t>Getreide-Silage mit Leguminosen</t>
  </si>
  <si>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</si>
  <si>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</si>
  <si>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</si>
  <si>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</si>
  <si>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</si>
  <si>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</si>
  <si>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</si>
  <si>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</si>
  <si>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</si>
  <si>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</si>
  <si>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</si>
  <si>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Fütterung von Kartoffeln oder Futterrüben?</t>
  </si>
  <si>
    <t>ad libitum-Fütterung?</t>
  </si>
  <si>
    <t>Affouragement libre service?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</si>
  <si>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</si>
  <si>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</si>
  <si>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</si>
  <si>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</si>
  <si>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</si>
  <si>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</si>
  <si>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</si>
  <si>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</si>
  <si>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</si>
  <si>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</si>
  <si>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</si>
  <si>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</si>
  <si>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</si>
  <si>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</si>
  <si>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</si>
  <si>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</si>
  <si>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</si>
  <si>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</si>
  <si>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</si>
  <si>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</si>
  <si>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</si>
  <si>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</si>
  <si>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</si>
  <si>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</si>
  <si>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</si>
  <si>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</si>
  <si>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</si>
  <si>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</si>
  <si>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</si>
  <si>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</si>
  <si>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</si>
  <si>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</si>
  <si>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</si>
  <si>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</si>
  <si>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</si>
  <si>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</si>
  <si>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</si>
  <si>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</si>
  <si>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</si>
  <si>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</si>
  <si>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</si>
  <si>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</si>
  <si>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</si>
  <si>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</si>
  <si>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</si>
  <si>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</si>
  <si>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</si>
  <si>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</si>
  <si>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</si>
  <si>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</si>
  <si>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</si>
  <si>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</si>
  <si>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</si>
  <si>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</si>
  <si>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</si>
  <si>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</si>
  <si>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</si>
  <si>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</si>
  <si>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</si>
  <si>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</si>
  <si>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</si>
  <si>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1 bis 2-jährig</t>
  </si>
  <si>
    <t>Rinder &gt;2-jährig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</si>
  <si>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</si>
  <si>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</si>
  <si>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</si>
  <si>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</si>
  <si>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</si>
  <si>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</si>
  <si>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</si>
  <si>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</si>
  <si>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</si>
  <si>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</si>
  <si>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</si>
  <si>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</si>
  <si>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</si>
  <si>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</si>
  <si>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</si>
  <si>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</si>
  <si>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</si>
  <si>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</si>
  <si>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</si>
  <si>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</si>
  <si>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</si>
  <si>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</si>
  <si>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</si>
  <si>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</si>
  <si>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</si>
  <si>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</si>
  <si>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</si>
  <si>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Taureau d'élevage</t>
  </si>
  <si>
    <t>Agneau engraissé au pâturage</t>
  </si>
  <si>
    <t>Brebis laitière, y c. agneaux et part de bélier</t>
  </si>
  <si>
    <t>Alpaga moins de 2 ans</t>
  </si>
  <si>
    <t>Truie non allaitante,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</si>
  <si>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</si>
  <si>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</si>
  <si>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</si>
  <si>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</si>
  <si>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</si>
  <si>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</si>
  <si>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</si>
  <si>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</si>
  <si>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</si>
  <si>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</si>
  <si>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</si>
  <si>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</si>
  <si>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</si>
  <si>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</si>
  <si>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</si>
  <si>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</si>
  <si>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</si>
  <si>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</si>
  <si>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</si>
  <si>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</si>
  <si>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</si>
  <si>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</si>
  <si>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</si>
  <si>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</si>
  <si>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</si>
  <si>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</si>
  <si>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</si>
  <si>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</si>
  <si>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</si>
  <si>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</si>
  <si>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</si>
  <si>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</si>
  <si>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</si>
  <si>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</si>
  <si>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</si>
  <si>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</si>
  <si>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</si>
  <si>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</si>
  <si>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</si>
  <si>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</si>
  <si>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</si>
  <si>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</si>
  <si>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</si>
  <si>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</si>
  <si>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</si>
  <si>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</si>
  <si>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</si>
  <si>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</si>
  <si>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</si>
  <si>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</si>
  <si>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</si>
  <si>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</si>
  <si>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</si>
  <si>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Mutterkuhkälber leicht, ca 350 kg</t>
  </si>
  <si>
    <t>Mutterkuhkälber schwer, ca 400 kg</t>
  </si>
  <si>
    <t>Zuchtstier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</si>
  <si>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</si>
  <si>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</si>
  <si>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</si>
  <si>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</si>
  <si>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</si>
  <si>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Galtsauen, pro Umtrieb</t>
  </si>
  <si>
    <t>Zuchtschweine, säugend, pro Umtrieb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</si>
  <si>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</si>
  <si>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</si>
  <si>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</si>
  <si>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</si>
  <si>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</si>
  <si>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</si>
  <si>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</si>
  <si>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</si>
  <si>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</si>
  <si>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</si>
  <si>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</si>
  <si>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</si>
  <si>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</si>
  <si>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</si>
  <si>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</si>
  <si>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</si>
  <si>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</si>
  <si>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</si>
  <si>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</si>
  <si>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</si>
  <si>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</si>
  <si>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</si>
  <si>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</si>
  <si>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</si>
  <si>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</si>
  <si>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</si>
  <si>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</si>
  <si>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</si>
  <si>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</si>
  <si>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</si>
  <si>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</si>
  <si>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</si>
  <si>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</si>
  <si>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</si>
  <si>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</si>
  <si>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</si>
  <si>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</si>
  <si>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</si>
  <si>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</si>
  <si>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</si>
  <si>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</si>
  <si>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</si>
  <si>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</si>
  <si>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</si>
  <si>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</si>
  <si>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</si>
  <si>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</si>
  <si>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</si>
  <si>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</si>
  <si>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Lamas über 2-jährig</t>
  </si>
  <si>
    <t>Lamas unter 2-jährig</t>
  </si>
  <si>
    <t>Alpakas über 2-jährig</t>
  </si>
  <si>
    <t>Alpakas unter 2-jährig</t>
  </si>
  <si>
    <t>Wiesen- und</t>
  </si>
  <si>
    <t>Lama plus de 2 ans</t>
  </si>
  <si>
    <t>Lama moins de 2 ans</t>
  </si>
  <si>
    <t>Alpaga plus de 2 ans</t>
  </si>
  <si>
    <t>Zwischenfutter, Aeugstlen, Frühjahrsschnitt vor Umbruch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</si>
  <si>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</si>
  <si>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</si>
  <si>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</si>
  <si>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</si>
  <si>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</si>
  <si>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</si>
  <si>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</si>
  <si>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</si>
  <si>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</si>
  <si>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</si>
  <si>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</si>
  <si>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</si>
  <si>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</si>
  <si>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</si>
  <si>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</si>
  <si>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</si>
  <si>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</si>
  <si>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</si>
  <si>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</si>
  <si>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</si>
  <si>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</si>
  <si>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</si>
  <si>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</si>
  <si>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</si>
  <si>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</si>
  <si>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</si>
  <si>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</si>
  <si>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</si>
  <si>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</si>
  <si>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</si>
  <si>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</si>
  <si>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</si>
  <si>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</si>
  <si>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</si>
  <si>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</si>
  <si>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</si>
  <si>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</si>
  <si>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</si>
  <si>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</si>
  <si>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</si>
  <si>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</si>
  <si>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</si>
  <si>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</si>
  <si>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GF-Verzehr zu hoch!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</si>
  <si>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</si>
  <si>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</si>
  <si>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</si>
  <si>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</si>
  <si>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</si>
  <si>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</si>
  <si>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</si>
  <si>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</si>
  <si>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</si>
  <si>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</si>
  <si>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</si>
  <si>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</si>
  <si>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</si>
  <si>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</si>
  <si>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</si>
  <si>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</si>
  <si>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</si>
  <si>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</si>
  <si>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</si>
  <si>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</si>
  <si>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</si>
  <si>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</si>
  <si>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</si>
  <si>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</si>
  <si>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</si>
  <si>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</si>
  <si>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</si>
  <si>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</si>
  <si>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</si>
  <si>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</si>
  <si>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</si>
  <si>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</si>
  <si>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</si>
  <si>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</si>
  <si>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</si>
  <si>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ausser FF</t>
  </si>
  <si>
    <t>Weidefutter</t>
  </si>
  <si>
    <t>weitere Raufutterverzehrende Tiere</t>
  </si>
  <si>
    <t>Rindvieh</t>
  </si>
  <si>
    <t>Grünfläche</t>
  </si>
  <si>
    <t>Formel neue LBV</t>
  </si>
  <si>
    <t>Formel alte LBV</t>
  </si>
  <si>
    <t>(160*0.13+140*0.33)/300</t>
  </si>
  <si>
    <t>(40*0.13+205*0.33+60*0.4)/365</t>
  </si>
  <si>
    <t>(40*0.13+205*0.33+365*0.4)/610</t>
  </si>
  <si>
    <t>Maximalerträge Wiesen, Weiden, ZF</t>
  </si>
  <si>
    <t>Maximalertrag ist überschritten!</t>
  </si>
  <si>
    <t>Le rendement maximal est dépassé!</t>
  </si>
  <si>
    <t>Hinweis:</t>
  </si>
  <si>
    <t>TS-Korrektur MiK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</si>
  <si>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</si>
  <si>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</si>
  <si>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</si>
  <si>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</si>
  <si>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</si>
  <si>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</si>
  <si>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</si>
  <si>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</si>
  <si>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</si>
  <si>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</si>
  <si>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</si>
  <si>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</si>
  <si>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</si>
  <si>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</si>
  <si>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</si>
  <si>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</si>
  <si>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</si>
  <si>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</si>
  <si>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</si>
  <si>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</si>
  <si>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</si>
  <si>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</si>
  <si>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</si>
  <si>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</si>
  <si>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</si>
  <si>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</si>
  <si>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Affouragement pdt ou betterave?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</si>
  <si>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</si>
  <si>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</si>
  <si>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</si>
  <si>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</si>
  <si>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</si>
  <si>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</si>
  <si>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</si>
  <si>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</si>
  <si>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1 à 2 ans</t>
  </si>
  <si>
    <t>Génisse, plus de 2 ans</t>
  </si>
  <si>
    <t>Veau à l'engrais, 50-200 kg</t>
  </si>
  <si>
    <t>Veau allaité jusqu'à env. 350 kg PV</t>
  </si>
  <si>
    <t>Veau allaité jusqu'à env. 400 kg PV</t>
  </si>
  <si>
    <t>Animaux consommant des fourrages grossiers sans consomm. de concentrés</t>
  </si>
  <si>
    <t>Autres animaux consommant des fourrages grossiers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</si>
  <si>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</si>
  <si>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</si>
  <si>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</si>
  <si>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</si>
  <si>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</si>
  <si>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</si>
  <si>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</si>
  <si>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</si>
  <si>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</si>
  <si>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</si>
  <si>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</si>
  <si>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</si>
  <si>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</si>
  <si>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</si>
  <si>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</si>
  <si>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</si>
  <si>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</si>
  <si>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</si>
  <si>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</si>
  <si>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</si>
  <si>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</si>
  <si>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</si>
  <si>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Dérobées, semis de PA d'été, rompue de printemps (si récoltés)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</si>
  <si>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</si>
  <si>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</si>
  <si>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</si>
  <si>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</si>
  <si>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</si>
  <si>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</si>
  <si>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</si>
  <si>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</si>
  <si>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</si>
  <si>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</si>
  <si>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</si>
  <si>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</si>
  <si>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</si>
  <si>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</si>
  <si>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</si>
  <si>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</si>
  <si>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</si>
  <si>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</si>
  <si>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GMF_114</t>
  </si>
  <si>
    <t>Fehler bei Grundfutter Kaninchen und Strausse. Muss Wiesen-/Weidefutter sein</t>
  </si>
  <si>
    <t>1.4a</t>
  </si>
  <si>
    <t>C3: Total achats issus de prairies et pâturages</t>
  </si>
  <si>
    <t>C4: Total achats d'autres fourrages</t>
  </si>
  <si>
    <t>C5: Fourrages produits sur l'exploitation hors surface fourragère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</si>
  <si>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</si>
  <si>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</si>
  <si>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</si>
  <si>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</si>
  <si>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</si>
  <si>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</si>
  <si>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</si>
  <si>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</si>
  <si>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</si>
  <si>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</si>
  <si>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</si>
  <si>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</si>
  <si>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</si>
  <si>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</si>
  <si>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</si>
  <si>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</si>
  <si>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</si>
  <si>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</si>
  <si>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</si>
  <si>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</si>
  <si>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1.3 Beta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</si>
  <si>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</si>
  <si>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</si>
  <si>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</si>
  <si>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</si>
  <si>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</si>
  <si>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</si>
  <si>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</si>
  <si>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</si>
  <si>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</si>
  <si>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</si>
  <si>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</si>
  <si>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</si>
  <si>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</si>
  <si>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</si>
  <si>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</si>
  <si>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</si>
  <si>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</si>
  <si>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</si>
  <si>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</si>
  <si>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</si>
  <si>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</si>
  <si>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</si>
  <si>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</si>
  <si>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</si>
  <si>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</si>
  <si>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</si>
  <si>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</si>
  <si>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</si>
  <si>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</si>
  <si>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</si>
  <si>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</si>
  <si>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</si>
  <si>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</si>
  <si>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</si>
  <si>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</si>
  <si>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</si>
  <si>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</si>
  <si>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</si>
  <si>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</si>
  <si>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</si>
  <si>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</si>
  <si>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</si>
  <si>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</si>
  <si>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</si>
  <si>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</si>
  <si>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</si>
  <si>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</si>
  <si>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</si>
  <si>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</si>
  <si>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</si>
  <si>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</si>
  <si>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</si>
  <si>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</si>
  <si>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</si>
  <si>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</si>
  <si>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</si>
  <si>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</si>
  <si>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</si>
  <si>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</si>
  <si>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</si>
  <si>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</si>
  <si>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Foraggiamento a discrezione?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</si>
  <si>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</si>
  <si>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</si>
  <si>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</si>
  <si>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</si>
  <si>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</si>
  <si>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</si>
  <si>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</si>
  <si>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</si>
  <si>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</si>
  <si>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</si>
  <si>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</si>
  <si>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</si>
  <si>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</si>
  <si>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</si>
  <si>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</si>
  <si>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</si>
  <si>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</si>
  <si>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</si>
  <si>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</si>
  <si>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</si>
  <si>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</si>
  <si>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</si>
  <si>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</si>
  <si>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</si>
  <si>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</si>
  <si>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</si>
  <si>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</si>
  <si>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</si>
  <si>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Bestiame giovane, 1-2 anni</t>
  </si>
  <si>
    <t>Manzi &gt;2 anni</t>
  </si>
  <si>
    <t>Vitelli da ingrasso (50-200 kg)</t>
  </si>
  <si>
    <t>Vitelli di vacche madri leggeri, circa 350 kg</t>
  </si>
  <si>
    <t>Vitelli di vacche madri pesanti, circa 400 kg</t>
  </si>
  <si>
    <t>GMF_86</t>
  </si>
  <si>
    <t>Falscher Zellbezug in Zelle W54: bisher auf Milchleistung MiK</t>
  </si>
  <si>
    <t>Neu auf Milchleistung andere Kühe (E42)</t>
  </si>
  <si>
    <t>Tori da allevamento</t>
  </si>
  <si>
    <t>Animali che consumano foraggio grezzo senza foraggio concentrato (PLCSI misto)</t>
  </si>
  <si>
    <t xml:space="preserve">Altri animali che consumano foraggio grezzo 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</si>
  <si>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</si>
  <si>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</si>
  <si>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</si>
  <si>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</si>
  <si>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</si>
  <si>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</si>
  <si>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</si>
  <si>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</si>
  <si>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</si>
  <si>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</si>
  <si>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</si>
  <si>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</si>
  <si>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</si>
  <si>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</si>
  <si>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</si>
  <si>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</si>
  <si>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</si>
  <si>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</si>
  <si>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</si>
  <si>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</si>
  <si>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</si>
  <si>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</si>
  <si>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</si>
  <si>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</si>
  <si>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</si>
  <si>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</si>
  <si>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</si>
  <si>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</si>
  <si>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Scrofe in asciutta, per ciclo</t>
  </si>
  <si>
    <t>Scrofe riproduttrici, in lattazione, per ciclo</t>
  </si>
  <si>
    <t>Verri da allevamento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</si>
  <si>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</si>
  <si>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</si>
  <si>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</si>
  <si>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</si>
  <si>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</si>
  <si>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</si>
  <si>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</si>
  <si>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</si>
  <si>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</si>
  <si>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</si>
  <si>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</si>
  <si>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</si>
  <si>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</si>
  <si>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</si>
  <si>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</si>
  <si>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</si>
  <si>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</si>
  <si>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</si>
  <si>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</si>
  <si>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</si>
  <si>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</si>
  <si>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</si>
  <si>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</si>
  <si>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</si>
  <si>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</si>
  <si>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</si>
  <si>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</si>
  <si>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</si>
  <si>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</si>
  <si>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</si>
  <si>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</si>
  <si>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</si>
  <si>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</si>
  <si>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</si>
  <si>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</si>
  <si>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</si>
  <si>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</si>
  <si>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</si>
  <si>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</si>
  <si>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</si>
  <si>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</si>
  <si>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</si>
  <si>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</si>
  <si>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</si>
  <si>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</si>
  <si>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</si>
  <si>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</si>
  <si>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</si>
  <si>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</si>
  <si>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</si>
  <si>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</si>
  <si>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</si>
  <si>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</si>
  <si>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</si>
  <si>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</si>
  <si>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</si>
  <si>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</si>
  <si>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</si>
  <si>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</si>
  <si>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GMF_101</t>
  </si>
  <si>
    <t>Anpassungen für 1.13 (GF-Erfassung Zuchtschweine)</t>
  </si>
  <si>
    <t>GMF_102</t>
  </si>
  <si>
    <t>Anpassung Version</t>
  </si>
  <si>
    <t>Bilanz für Mutterkuh &amp; Kalb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</si>
  <si>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</si>
  <si>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</si>
  <si>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</si>
  <si>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</si>
  <si>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</si>
  <si>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</si>
  <si>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</si>
  <si>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</si>
  <si>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</si>
  <si>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</si>
  <si>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</si>
  <si>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</si>
  <si>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</si>
  <si>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</si>
  <si>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</si>
  <si>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</si>
  <si>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</si>
  <si>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</si>
  <si>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</si>
  <si>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</si>
  <si>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</si>
  <si>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</si>
  <si>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</si>
  <si>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</si>
  <si>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</si>
  <si>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</si>
  <si>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</si>
  <si>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</si>
  <si>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</si>
  <si>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</si>
  <si>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</si>
  <si>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</si>
  <si>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</si>
  <si>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</si>
  <si>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</si>
  <si>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</si>
  <si>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</si>
  <si>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</si>
  <si>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</si>
  <si>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</si>
  <si>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</si>
  <si>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</si>
  <si>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</si>
  <si>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</si>
  <si>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</si>
  <si>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</si>
  <si>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</si>
  <si>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</si>
  <si>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</si>
  <si>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</si>
  <si>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</si>
  <si>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</si>
  <si>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</si>
  <si>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</si>
  <si>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</si>
  <si>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</si>
  <si>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patate o barbabietole da foraggio?</t>
  </si>
  <si>
    <t>Foglie di barbabietola</t>
  </si>
  <si>
    <t>Cubetti d'erba</t>
  </si>
  <si>
    <t>Cubetti da mais pianta intera</t>
  </si>
  <si>
    <t>Foraggio essiccato, a tenore ridotto di sost. nutri.</t>
  </si>
  <si>
    <t xml:space="preserve"> sfalci primaverili prima del dissodamento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</si>
  <si>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</si>
  <si>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</si>
  <si>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</si>
  <si>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</si>
  <si>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</si>
  <si>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</si>
  <si>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</si>
  <si>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</si>
  <si>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</si>
  <si>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</si>
  <si>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</si>
  <si>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</si>
  <si>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</si>
  <si>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</si>
  <si>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</si>
  <si>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</si>
  <si>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</si>
  <si>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</si>
  <si>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</si>
  <si>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</si>
  <si>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</si>
  <si>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</si>
  <si>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</si>
  <si>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</si>
  <si>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</si>
  <si>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</si>
  <si>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</si>
  <si>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</si>
  <si>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</si>
  <si>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</si>
  <si>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</si>
  <si>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</si>
  <si>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</si>
  <si>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</si>
  <si>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</si>
  <si>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</si>
  <si>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</si>
  <si>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</si>
  <si>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</si>
  <si>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</si>
  <si>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</si>
  <si>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</si>
  <si>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</si>
  <si>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</si>
  <si>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</si>
  <si>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</si>
  <si>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</si>
  <si>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</si>
  <si>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</si>
  <si>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</si>
  <si>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</si>
  <si>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</si>
  <si>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</si>
  <si>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</si>
  <si>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</si>
  <si>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</si>
  <si>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</si>
  <si>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</si>
  <si>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</si>
  <si>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</si>
  <si>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</si>
  <si>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</si>
  <si>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</si>
  <si>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</si>
  <si>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</si>
  <si>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</si>
  <si>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</si>
  <si>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</si>
  <si>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</si>
  <si>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</si>
  <si>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</si>
  <si>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</si>
  <si>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</si>
  <si>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</si>
  <si>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</si>
  <si>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</si>
  <si>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</si>
  <si>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</si>
  <si>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</si>
  <si>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</si>
  <si>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</si>
  <si>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</si>
  <si>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</si>
  <si>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</si>
  <si>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</si>
  <si>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</si>
  <si>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</si>
  <si>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</si>
  <si>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</si>
  <si>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</si>
  <si>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</si>
  <si>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</si>
  <si>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</si>
  <si>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</si>
  <si>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</si>
  <si>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</si>
  <si>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</si>
  <si>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</si>
  <si>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</si>
  <si>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</si>
  <si>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</si>
  <si>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</si>
  <si>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</si>
  <si>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</si>
  <si>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</si>
  <si>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</si>
  <si>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</si>
  <si>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</si>
  <si>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</si>
  <si>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</si>
  <si>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</si>
  <si>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</si>
  <si>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</si>
  <si>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</si>
  <si>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</si>
  <si>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</si>
  <si>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</si>
  <si>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</si>
  <si>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</si>
  <si>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</si>
  <si>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</si>
  <si>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</si>
  <si>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</si>
  <si>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</si>
  <si>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</si>
  <si>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</si>
  <si>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</si>
  <si>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</si>
  <si>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</si>
  <si>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</si>
  <si>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</si>
  <si>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</si>
  <si>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</si>
  <si>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</si>
  <si>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</si>
  <si>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</si>
  <si>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</si>
  <si>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</si>
  <si>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</si>
  <si>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</si>
  <si>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</si>
  <si>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</si>
  <si>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</si>
  <si>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</si>
  <si>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</si>
  <si>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>Vorhang MuK ändern</t>
  </si>
  <si>
    <t>GMF_129</t>
  </si>
  <si>
    <t>GMF_130</t>
  </si>
  <si>
    <t>Formel in 218 korrigieren; bedingte Formatierung in P166:180 löschen; bedingte Formatierung in K74-77</t>
  </si>
  <si>
    <t>C6: Total achat de co-produits issus de la transformation agro-alimentaire</t>
  </si>
  <si>
    <t>Part Co-produits+Concentrés  ≤</t>
  </si>
  <si>
    <t>Sottoprodotti+Concentrati  ≤</t>
  </si>
  <si>
    <t>Autres fourrages de base</t>
  </si>
  <si>
    <t>C6: totale ritiri sottoprodotti ottenuti dalla trasformazione di derrate alimentari</t>
  </si>
  <si>
    <t>GMF_131</t>
  </si>
  <si>
    <t>Vorhang MuK ändern; korrektur Text</t>
  </si>
</sst>
</file>

<file path=xl/styles.xml><?xml version="1.0" encoding="utf-8"?>
<styleSheet xmlns="http://schemas.openxmlformats.org/spreadsheetml/2006/main">
  <numFmts count="6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General_)"/>
    <numFmt numFmtId="179" formatCode="0_)"/>
    <numFmt numFmtId="180" formatCode="0.00_)"/>
    <numFmt numFmtId="181" formatCode="0.0_)"/>
    <numFmt numFmtId="182" formatCode="0.0"/>
    <numFmt numFmtId="183" formatCode="\(0.00\)"/>
    <numFmt numFmtId="184" formatCode="0__"/>
    <numFmt numFmtId="185" formatCode="0.0__"/>
    <numFmt numFmtId="186" formatCode="0_)\ "/>
    <numFmt numFmtId="187" formatCode="0\ %"/>
    <numFmt numFmtId="188" formatCode="0.0000"/>
    <numFmt numFmtId="189" formatCode="0.0\ &quot;%&quot;"/>
    <numFmt numFmtId="190" formatCode="\ \ \ \ \ @"/>
    <numFmt numFmtId="191" formatCode="0\ &quot;m.ü.M.&quot;"/>
    <numFmt numFmtId="192" formatCode="0\ &quot;Tage&quot;"/>
    <numFmt numFmtId="193" formatCode="0.00\ &quot;ha&quot;"/>
    <numFmt numFmtId="194" formatCode="0.0\ &quot;kg/Stk.&quot;"/>
    <numFmt numFmtId="195" formatCode="0\ &quot;m.ü.M&quot;"/>
    <numFmt numFmtId="196" formatCode="\-0_)"/>
    <numFmt numFmtId="197" formatCode="\(__"/>
    <numFmt numFmtId="198" formatCode="#,##0_)"/>
    <numFmt numFmtId="199" formatCode="0.000"/>
    <numFmt numFmtId="200" formatCode="0\ &quot;m&quot;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__0.00"/>
    <numFmt numFmtId="206" formatCode="____0.00"/>
    <numFmt numFmtId="207" formatCode="\(____0.00"/>
    <numFmt numFmtId="208" formatCode="___0.00"/>
    <numFmt numFmtId="209" formatCode="_0.00"/>
    <numFmt numFmtId="210" formatCode="mmm\ yyyy"/>
    <numFmt numFmtId="211" formatCode="#,##0_ ;[Red]\-#,##0\ "/>
    <numFmt numFmtId="212" formatCode="0.0_);\-\ 0.0\);"/>
    <numFmt numFmtId="213" formatCode="0.0_);\-\ 0.0_);"/>
    <numFmt numFmtId="214" formatCode="#,##0_);\-\ #,##0_);"/>
    <numFmt numFmtId="215" formatCode="#,##0_);\-#,##0_);"/>
    <numFmt numFmtId="216" formatCode="General_);"/>
    <numFmt numFmtId="217" formatCode="General_);\-General_);"/>
    <numFmt numFmtId="218" formatCode="0.0_);\-0.0_);"/>
    <numFmt numFmtId="219" formatCode="0.00_);\-0.00_);"/>
  </numFmts>
  <fonts count="7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23"/>
      <name val="Arial"/>
      <family val="2"/>
    </font>
    <font>
      <sz val="11"/>
      <color indexed="23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medium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0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6" fillId="0" borderId="0">
      <alignment/>
      <protection/>
    </xf>
    <xf numFmtId="0" fontId="37" fillId="0" borderId="0">
      <alignment/>
      <protection locked="0"/>
    </xf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2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746">
    <xf numFmtId="0" fontId="0" fillId="0" borderId="0" xfId="0" applyAlignment="1">
      <alignment/>
    </xf>
    <xf numFmtId="182" fontId="0" fillId="0" borderId="0" xfId="112" applyFont="1">
      <alignment/>
      <protection/>
    </xf>
    <xf numFmtId="182" fontId="0" fillId="0" borderId="14" xfId="112" applyFont="1" applyBorder="1" applyAlignment="1" applyProtection="1">
      <alignment vertical="center"/>
      <protection/>
    </xf>
    <xf numFmtId="179" fontId="0" fillId="5" borderId="15" xfId="112" applyNumberFormat="1" applyFont="1" applyFill="1" applyBorder="1" applyAlignment="1" applyProtection="1">
      <alignment vertical="center"/>
      <protection locked="0"/>
    </xf>
    <xf numFmtId="179" fontId="0" fillId="5" borderId="16" xfId="112" applyNumberFormat="1" applyFont="1" applyFill="1" applyBorder="1" applyAlignment="1" applyProtection="1">
      <alignment vertical="center"/>
      <protection locked="0"/>
    </xf>
    <xf numFmtId="189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182" fontId="41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1" fillId="4" borderId="0" xfId="112" applyNumberFormat="1" applyFont="1" applyFill="1" applyBorder="1" applyAlignment="1">
      <alignment horizontal="center" vertical="center"/>
      <protection/>
    </xf>
    <xf numFmtId="1" fontId="41" fillId="4" borderId="19" xfId="112" applyNumberFormat="1" applyFont="1" applyFill="1" applyBorder="1" applyAlignment="1">
      <alignment horizontal="center" vertical="center"/>
      <protection/>
    </xf>
    <xf numFmtId="182" fontId="24" fillId="0" borderId="20" xfId="112" applyFont="1" applyBorder="1" applyAlignment="1">
      <alignment/>
      <protection/>
    </xf>
    <xf numFmtId="182" fontId="24" fillId="0" borderId="21" xfId="112" applyFont="1" applyBorder="1" applyAlignment="1">
      <alignment/>
      <protection/>
    </xf>
    <xf numFmtId="182" fontId="24" fillId="0" borderId="22" xfId="112" applyFont="1" applyBorder="1" applyAlignment="1">
      <alignment/>
      <protection/>
    </xf>
    <xf numFmtId="182" fontId="0" fillId="0" borderId="20" xfId="112" applyFont="1" applyBorder="1" applyAlignment="1">
      <alignment/>
      <protection/>
    </xf>
    <xf numFmtId="182" fontId="0" fillId="0" borderId="23" xfId="112" applyFont="1" applyBorder="1" applyAlignment="1">
      <alignment/>
      <protection/>
    </xf>
    <xf numFmtId="182" fontId="0" fillId="0" borderId="24" xfId="112" applyFont="1" applyBorder="1" applyAlignment="1">
      <alignment/>
      <protection/>
    </xf>
    <xf numFmtId="182" fontId="24" fillId="0" borderId="23" xfId="112" applyFont="1" applyBorder="1" applyAlignment="1">
      <alignment/>
      <protection/>
    </xf>
    <xf numFmtId="182" fontId="24" fillId="0" borderId="24" xfId="112" applyFont="1" applyBorder="1" applyAlignment="1">
      <alignment/>
      <protection/>
    </xf>
    <xf numFmtId="182" fontId="24" fillId="0" borderId="23" xfId="112" applyFont="1" applyBorder="1" applyAlignment="1">
      <alignment horizontal="center" vertical="center"/>
      <protection/>
    </xf>
    <xf numFmtId="182" fontId="24" fillId="0" borderId="23" xfId="112" applyFont="1" applyBorder="1" applyAlignment="1">
      <alignment horizontal="center" vertical="center" wrapText="1"/>
      <protection/>
    </xf>
    <xf numFmtId="182" fontId="0" fillId="0" borderId="25" xfId="112" applyFont="1" applyBorder="1" applyAlignment="1">
      <alignment/>
      <protection/>
    </xf>
    <xf numFmtId="182" fontId="0" fillId="0" borderId="26" xfId="112" applyFont="1" applyBorder="1" applyAlignment="1">
      <alignment/>
      <protection/>
    </xf>
    <xf numFmtId="182" fontId="24" fillId="0" borderId="25" xfId="112" applyFont="1" applyBorder="1" applyAlignment="1">
      <alignment horizontal="center" vertical="center"/>
      <protection/>
    </xf>
    <xf numFmtId="182" fontId="24" fillId="0" borderId="25" xfId="112" applyFont="1" applyBorder="1" applyAlignment="1">
      <alignment horizontal="center" vertical="center" wrapText="1"/>
      <protection/>
    </xf>
    <xf numFmtId="182" fontId="0" fillId="5" borderId="21" xfId="112" applyFont="1" applyFill="1" applyBorder="1" applyAlignment="1">
      <alignment vertical="center"/>
      <protection/>
    </xf>
    <xf numFmtId="184" fontId="0" fillId="2" borderId="21" xfId="112" applyNumberFormat="1" applyFont="1" applyFill="1" applyBorder="1" applyAlignment="1">
      <alignment horizontal="center" vertical="center"/>
      <protection/>
    </xf>
    <xf numFmtId="182" fontId="0" fillId="5" borderId="23" xfId="112" applyFont="1" applyFill="1" applyBorder="1" applyAlignment="1">
      <alignment vertical="center"/>
      <protection/>
    </xf>
    <xf numFmtId="181" fontId="0" fillId="4" borderId="23" xfId="112" applyNumberFormat="1" applyFont="1" applyFill="1" applyBorder="1" applyAlignment="1">
      <alignment horizontal="center" vertical="center"/>
      <protection/>
    </xf>
    <xf numFmtId="184" fontId="0" fillId="2" borderId="23" xfId="112" applyNumberFormat="1" applyFont="1" applyFill="1" applyBorder="1" applyAlignment="1">
      <alignment horizontal="center" vertical="center"/>
      <protection/>
    </xf>
    <xf numFmtId="182" fontId="0" fillId="5" borderId="15" xfId="112" applyFont="1" applyFill="1" applyBorder="1" applyAlignment="1">
      <alignment vertical="center"/>
      <protection/>
    </xf>
    <xf numFmtId="181" fontId="0" fillId="4" borderId="15" xfId="112" applyNumberFormat="1" applyFont="1" applyFill="1" applyBorder="1" applyAlignment="1">
      <alignment horizontal="center" vertical="center"/>
      <protection/>
    </xf>
    <xf numFmtId="184" fontId="0" fillId="2" borderId="15" xfId="112" applyNumberFormat="1" applyFont="1" applyFill="1" applyBorder="1" applyAlignment="1">
      <alignment horizontal="center" vertical="center"/>
      <protection/>
    </xf>
    <xf numFmtId="182" fontId="0" fillId="2" borderId="23" xfId="112" applyNumberFormat="1" applyFont="1" applyFill="1" applyBorder="1" applyAlignment="1">
      <alignment horizontal="center" vertical="center"/>
      <protection/>
    </xf>
    <xf numFmtId="182" fontId="0" fillId="2" borderId="15" xfId="112" applyNumberFormat="1" applyFont="1" applyFill="1" applyBorder="1" applyAlignment="1">
      <alignment horizontal="center" vertical="center"/>
      <protection/>
    </xf>
    <xf numFmtId="181" fontId="0" fillId="2" borderId="23" xfId="112" applyNumberFormat="1" applyFont="1" applyFill="1" applyBorder="1" applyAlignment="1">
      <alignment horizontal="center" vertical="center"/>
      <protection/>
    </xf>
    <xf numFmtId="181" fontId="0" fillId="2" borderId="15" xfId="112" applyNumberFormat="1" applyFont="1" applyFill="1" applyBorder="1" applyAlignment="1">
      <alignment horizontal="center" vertical="center"/>
      <protection/>
    </xf>
    <xf numFmtId="181" fontId="0" fillId="2" borderId="16" xfId="112" applyNumberFormat="1" applyFont="1" applyFill="1" applyBorder="1" applyAlignment="1">
      <alignment horizontal="center" vertical="center"/>
      <protection/>
    </xf>
    <xf numFmtId="180" fontId="0" fillId="2" borderId="23" xfId="112" applyNumberFormat="1" applyFont="1" applyFill="1" applyBorder="1" applyAlignment="1">
      <alignment horizontal="center" vertical="center"/>
      <protection/>
    </xf>
    <xf numFmtId="182" fontId="32" fillId="0" borderId="0" xfId="112" applyFont="1">
      <alignment/>
      <protection/>
    </xf>
    <xf numFmtId="182" fontId="31" fillId="0" borderId="0" xfId="112" applyFont="1">
      <alignment/>
      <protection/>
    </xf>
    <xf numFmtId="182" fontId="0" fillId="5" borderId="27" xfId="112" applyFont="1" applyFill="1" applyBorder="1" applyAlignment="1">
      <alignment vertical="center"/>
      <protection/>
    </xf>
    <xf numFmtId="182" fontId="0" fillId="0" borderId="0" xfId="112" applyNumberFormat="1" applyFont="1" applyFill="1" applyBorder="1" applyAlignment="1" applyProtection="1">
      <alignment vertical="center"/>
      <protection/>
    </xf>
    <xf numFmtId="178" fontId="0" fillId="0" borderId="20" xfId="112" applyNumberFormat="1" applyFont="1" applyFill="1" applyBorder="1" applyAlignment="1" applyProtection="1">
      <alignment vertical="center"/>
      <protection/>
    </xf>
    <xf numFmtId="179" fontId="0" fillId="0" borderId="16" xfId="112" applyNumberFormat="1" applyFont="1" applyFill="1" applyBorder="1" applyAlignment="1" applyProtection="1">
      <alignment horizontal="center" vertical="center"/>
      <protection/>
    </xf>
    <xf numFmtId="179" fontId="0" fillId="7" borderId="16" xfId="112" applyNumberFormat="1" applyFont="1" applyFill="1" applyBorder="1" applyAlignment="1" applyProtection="1">
      <alignment horizontal="center" vertical="center"/>
      <protection locked="0"/>
    </xf>
    <xf numFmtId="179" fontId="0" fillId="5" borderId="17" xfId="112" applyNumberFormat="1" applyFont="1" applyFill="1" applyBorder="1" applyAlignment="1" applyProtection="1">
      <alignment horizontal="center" vertical="center"/>
      <protection locked="0"/>
    </xf>
    <xf numFmtId="182" fontId="0" fillId="0" borderId="28" xfId="112" applyFont="1" applyBorder="1" applyAlignment="1" applyProtection="1">
      <alignment vertical="center"/>
      <protection/>
    </xf>
    <xf numFmtId="179" fontId="0" fillId="5" borderId="27" xfId="112" applyNumberFormat="1" applyFont="1" applyFill="1" applyBorder="1" applyAlignment="1" applyProtection="1">
      <alignment vertical="center"/>
      <protection locked="0"/>
    </xf>
    <xf numFmtId="179" fontId="0" fillId="7" borderId="29" xfId="112" applyNumberFormat="1" applyFont="1" applyFill="1" applyBorder="1" applyAlignment="1" applyProtection="1">
      <alignment horizontal="center" vertical="center"/>
      <protection locked="0"/>
    </xf>
    <xf numFmtId="189" fontId="0" fillId="5" borderId="17" xfId="112" applyNumberFormat="1" applyFont="1" applyFill="1" applyBorder="1" applyAlignment="1" applyProtection="1">
      <alignment horizontal="center" vertical="center"/>
      <protection locked="0"/>
    </xf>
    <xf numFmtId="182" fontId="0" fillId="0" borderId="30" xfId="112" applyFont="1" applyBorder="1" applyAlignment="1" applyProtection="1">
      <alignment vertical="center"/>
      <protection/>
    </xf>
    <xf numFmtId="179" fontId="0" fillId="5" borderId="31" xfId="112" applyNumberFormat="1" applyFont="1" applyFill="1" applyBorder="1" applyAlignment="1" applyProtection="1">
      <alignment vertical="center"/>
      <protection locked="0"/>
    </xf>
    <xf numFmtId="179" fontId="0" fillId="0" borderId="31" xfId="112" applyNumberFormat="1" applyFont="1" applyFill="1" applyBorder="1" applyAlignment="1" applyProtection="1">
      <alignment horizontal="center" vertical="center"/>
      <protection/>
    </xf>
    <xf numFmtId="182" fontId="0" fillId="5" borderId="19" xfId="112" applyFont="1" applyFill="1" applyBorder="1" applyAlignment="1" applyProtection="1">
      <alignment vertical="center"/>
      <protection locked="0"/>
    </xf>
    <xf numFmtId="182" fontId="0" fillId="5" borderId="19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2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2" xfId="0" applyFill="1" applyBorder="1" applyAlignment="1" applyProtection="1">
      <alignment/>
      <protection/>
    </xf>
    <xf numFmtId="49" fontId="0" fillId="5" borderId="32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82" fontId="24" fillId="0" borderId="33" xfId="112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horizontal="center" vertical="center"/>
      <protection/>
    </xf>
    <xf numFmtId="1" fontId="24" fillId="0" borderId="33" xfId="112" applyNumberFormat="1" applyFont="1" applyFill="1" applyBorder="1" applyAlignment="1" applyProtection="1">
      <alignment horizontal="center"/>
      <protection/>
    </xf>
    <xf numFmtId="181" fontId="24" fillId="0" borderId="33" xfId="112" applyNumberFormat="1" applyFont="1" applyFill="1" applyBorder="1" applyAlignment="1" applyProtection="1">
      <alignment vertical="center"/>
      <protection/>
    </xf>
    <xf numFmtId="182" fontId="24" fillId="0" borderId="33" xfId="112" applyNumberFormat="1" applyFont="1" applyFill="1" applyBorder="1" applyAlignment="1" applyProtection="1">
      <alignment vertical="center"/>
      <protection/>
    </xf>
    <xf numFmtId="2" fontId="41" fillId="0" borderId="0" xfId="112" applyNumberFormat="1" applyFont="1" applyAlignment="1">
      <alignment horizontal="center" vertical="center"/>
      <protection/>
    </xf>
    <xf numFmtId="2" fontId="41" fillId="4" borderId="0" xfId="112" applyNumberFormat="1" applyFont="1" applyFill="1" applyBorder="1" applyAlignment="1">
      <alignment horizontal="center" vertical="center"/>
      <protection/>
    </xf>
    <xf numFmtId="182" fontId="0" fillId="0" borderId="0" xfId="112" applyFont="1" applyFill="1" applyAlignment="1" applyProtection="1">
      <alignment vertical="center"/>
      <protection hidden="1"/>
    </xf>
    <xf numFmtId="180" fontId="0" fillId="5" borderId="14" xfId="112" applyNumberFormat="1" applyFont="1" applyFill="1" applyBorder="1" applyAlignment="1" applyProtection="1">
      <alignment vertical="center"/>
      <protection locked="0"/>
    </xf>
    <xf numFmtId="184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 horizontal="left"/>
      <protection/>
    </xf>
    <xf numFmtId="0" fontId="0" fillId="5" borderId="34" xfId="0" applyNumberFormat="1" applyFont="1" applyFill="1" applyBorder="1" applyAlignment="1" applyProtection="1">
      <alignment horizontal="left"/>
      <protection locked="0"/>
    </xf>
    <xf numFmtId="0" fontId="0" fillId="5" borderId="34" xfId="0" applyNumberFormat="1" applyFont="1" applyFill="1" applyBorder="1" applyAlignment="1" applyProtection="1">
      <alignment/>
      <protection/>
    </xf>
    <xf numFmtId="49" fontId="0" fillId="5" borderId="34" xfId="0" applyNumberFormat="1" applyFont="1" applyFill="1" applyBorder="1" applyAlignment="1" applyProtection="1">
      <alignment/>
      <protection locked="0"/>
    </xf>
    <xf numFmtId="49" fontId="0" fillId="5" borderId="34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2" fillId="5" borderId="34" xfId="101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198" fontId="0" fillId="5" borderId="15" xfId="112" applyNumberFormat="1" applyFont="1" applyFill="1" applyBorder="1" applyAlignment="1" applyProtection="1">
      <alignment vertical="center"/>
      <protection locked="0"/>
    </xf>
    <xf numFmtId="198" fontId="0" fillId="5" borderId="16" xfId="112" applyNumberFormat="1" applyFont="1" applyFill="1" applyBorder="1" applyAlignment="1" applyProtection="1">
      <alignment vertical="center"/>
      <protection locked="0"/>
    </xf>
    <xf numFmtId="198" fontId="0" fillId="5" borderId="27" xfId="112" applyNumberFormat="1" applyFont="1" applyFill="1" applyBorder="1" applyAlignment="1" applyProtection="1">
      <alignment vertical="center"/>
      <protection locked="0"/>
    </xf>
    <xf numFmtId="198" fontId="0" fillId="5" borderId="31" xfId="112" applyNumberFormat="1" applyFont="1" applyFill="1" applyBorder="1" applyAlignment="1" applyProtection="1">
      <alignment vertical="center"/>
      <protection locked="0"/>
    </xf>
    <xf numFmtId="198" fontId="0" fillId="5" borderId="14" xfId="112" applyNumberFormat="1" applyFont="1" applyFill="1" applyBorder="1" applyAlignment="1" applyProtection="1">
      <alignment vertical="center"/>
      <protection locked="0"/>
    </xf>
    <xf numFmtId="198" fontId="0" fillId="5" borderId="28" xfId="112" applyNumberFormat="1" applyFont="1" applyFill="1" applyBorder="1" applyAlignment="1" applyProtection="1">
      <alignment vertical="center"/>
      <protection locked="0"/>
    </xf>
    <xf numFmtId="181" fontId="0" fillId="5" borderId="16" xfId="112" applyNumberFormat="1" applyFont="1" applyFill="1" applyBorder="1" applyAlignment="1" applyProtection="1">
      <alignment vertical="center"/>
      <protection locked="0"/>
    </xf>
    <xf numFmtId="181" fontId="0" fillId="5" borderId="31" xfId="112" applyNumberFormat="1" applyFont="1" applyFill="1" applyBorder="1" applyAlignment="1" applyProtection="1">
      <alignment vertical="center"/>
      <protection locked="0"/>
    </xf>
    <xf numFmtId="178" fontId="0" fillId="5" borderId="16" xfId="112" applyNumberFormat="1" applyFont="1" applyFill="1" applyBorder="1" applyAlignment="1" applyProtection="1">
      <alignment vertical="center"/>
      <protection locked="0"/>
    </xf>
    <xf numFmtId="178" fontId="0" fillId="5" borderId="21" xfId="112" applyNumberFormat="1" applyFont="1" applyFill="1" applyBorder="1" applyAlignment="1" applyProtection="1">
      <alignment/>
      <protection locked="0"/>
    </xf>
    <xf numFmtId="178" fontId="0" fillId="5" borderId="16" xfId="112" applyNumberFormat="1" applyFont="1" applyFill="1" applyBorder="1" applyAlignment="1" applyProtection="1">
      <alignment/>
      <protection locked="0"/>
    </xf>
    <xf numFmtId="178" fontId="0" fillId="5" borderId="27" xfId="112" applyNumberFormat="1" applyFont="1" applyFill="1" applyBorder="1" applyAlignment="1" applyProtection="1">
      <alignment vertical="center"/>
      <protection locked="0"/>
    </xf>
    <xf numFmtId="178" fontId="0" fillId="5" borderId="31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8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14" xfId="112" applyNumberFormat="1" applyFont="1" applyBorder="1" applyAlignment="1" applyProtection="1">
      <alignment horizontal="center" vertical="center"/>
      <protection/>
    </xf>
    <xf numFmtId="0" fontId="0" fillId="0" borderId="28" xfId="112" applyNumberFormat="1" applyFont="1" applyBorder="1" applyAlignment="1" applyProtection="1">
      <alignment horizontal="center" vertical="center"/>
      <protection/>
    </xf>
    <xf numFmtId="0" fontId="0" fillId="0" borderId="35" xfId="112" applyNumberFormat="1" applyFont="1" applyBorder="1" applyAlignment="1" applyProtection="1">
      <alignment horizontal="center" vertical="center"/>
      <protection/>
    </xf>
    <xf numFmtId="0" fontId="0" fillId="0" borderId="14" xfId="112" applyNumberFormat="1" applyFont="1" applyFill="1" applyBorder="1" applyAlignment="1" applyProtection="1">
      <alignment horizontal="center" vertical="center"/>
      <protection/>
    </xf>
    <xf numFmtId="181" fontId="0" fillId="4" borderId="21" xfId="112" applyNumberFormat="1" applyFont="1" applyFill="1" applyBorder="1" applyAlignment="1">
      <alignment horizontal="center" vertical="center"/>
      <protection/>
    </xf>
    <xf numFmtId="2" fontId="41" fillId="4" borderId="23" xfId="112" applyNumberFormat="1" applyFont="1" applyFill="1" applyBorder="1" applyAlignment="1">
      <alignment horizontal="center" vertical="center"/>
      <protection/>
    </xf>
    <xf numFmtId="182" fontId="24" fillId="0" borderId="21" xfId="112" applyFont="1" applyBorder="1" applyAlignment="1">
      <alignment horizontal="center"/>
      <protection/>
    </xf>
    <xf numFmtId="2" fontId="24" fillId="4" borderId="23" xfId="112" applyNumberFormat="1" applyFont="1" applyFill="1" applyBorder="1" applyAlignment="1">
      <alignment horizontal="center" vertical="center"/>
      <protection/>
    </xf>
    <xf numFmtId="2" fontId="0" fillId="0" borderId="21" xfId="112" applyNumberFormat="1" applyFont="1" applyBorder="1" applyAlignment="1">
      <alignment horizontal="center"/>
      <protection/>
    </xf>
    <xf numFmtId="2" fontId="0" fillId="0" borderId="23" xfId="112" applyNumberFormat="1" applyFont="1" applyBorder="1" applyAlignment="1">
      <alignment horizontal="center"/>
      <protection/>
    </xf>
    <xf numFmtId="2" fontId="0" fillId="0" borderId="25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182" fontId="0" fillId="5" borderId="25" xfId="112" applyFont="1" applyFill="1" applyBorder="1" applyAlignment="1">
      <alignment vertical="center"/>
      <protection/>
    </xf>
    <xf numFmtId="181" fontId="0" fillId="2" borderId="25" xfId="112" applyNumberFormat="1" applyFont="1" applyFill="1" applyBorder="1" applyAlignment="1">
      <alignment horizontal="center" vertical="center"/>
      <protection/>
    </xf>
    <xf numFmtId="181" fontId="0" fillId="4" borderId="25" xfId="112" applyNumberFormat="1" applyFont="1" applyFill="1" applyBorder="1" applyAlignment="1">
      <alignment horizontal="center" vertical="center"/>
      <protection/>
    </xf>
    <xf numFmtId="182" fontId="41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3" fontId="0" fillId="5" borderId="34" xfId="0" applyNumberFormat="1" applyFont="1" applyFill="1" applyBorder="1" applyAlignment="1" applyProtection="1">
      <alignment horizontal="left"/>
      <protection locked="0"/>
    </xf>
    <xf numFmtId="182" fontId="32" fillId="4" borderId="0" xfId="112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/>
      <protection/>
    </xf>
    <xf numFmtId="182" fontId="0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/>
      <protection/>
    </xf>
    <xf numFmtId="1" fontId="49" fillId="0" borderId="0" xfId="112" applyNumberFormat="1" applyFont="1" applyFill="1" applyBorder="1" applyAlignment="1" applyProtection="1">
      <alignment horizontal="center" vertical="center"/>
      <protection/>
    </xf>
    <xf numFmtId="1" fontId="49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49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5" fillId="0" borderId="0" xfId="112" applyNumberFormat="1" applyFont="1" applyFill="1" applyBorder="1" applyAlignment="1" applyProtection="1">
      <alignment horizontal="center" vertical="center"/>
      <protection/>
    </xf>
    <xf numFmtId="182" fontId="49" fillId="0" borderId="0" xfId="112" applyFont="1">
      <alignment/>
      <protection/>
    </xf>
    <xf numFmtId="182" fontId="49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7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192" fontId="0" fillId="7" borderId="34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182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2" fontId="0" fillId="0" borderId="0" xfId="112" applyNumberFormat="1" applyFont="1" applyAlignment="1" applyProtection="1">
      <alignment vertical="center"/>
      <protection/>
    </xf>
    <xf numFmtId="182" fontId="31" fillId="0" borderId="0" xfId="112" applyFont="1" applyAlignment="1" applyProtection="1">
      <alignment vertical="center"/>
      <protection/>
    </xf>
    <xf numFmtId="182" fontId="44" fillId="0" borderId="0" xfId="112" applyFont="1" applyAlignment="1" applyProtection="1">
      <alignment vertical="center"/>
      <protection/>
    </xf>
    <xf numFmtId="178" fontId="22" fillId="0" borderId="0" xfId="112" applyNumberFormat="1" applyFont="1" applyBorder="1" applyAlignment="1" applyProtection="1">
      <alignment vertical="center"/>
      <protection/>
    </xf>
    <xf numFmtId="182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2" fontId="32" fillId="4" borderId="0" xfId="112" applyFont="1" applyFill="1" applyAlignment="1" applyProtection="1">
      <alignment vertical="center"/>
      <protection/>
    </xf>
    <xf numFmtId="182" fontId="0" fillId="0" borderId="0" xfId="112" applyFont="1" applyProtection="1">
      <alignment/>
      <protection/>
    </xf>
    <xf numFmtId="1" fontId="1" fillId="0" borderId="0" xfId="112" applyNumberFormat="1" applyFont="1" applyBorder="1" applyAlignment="1" applyProtection="1">
      <alignment/>
      <protection/>
    </xf>
    <xf numFmtId="182" fontId="31" fillId="0" borderId="0" xfId="112" applyFont="1" applyBorder="1" applyAlignment="1" applyProtection="1">
      <alignment vertical="center"/>
      <protection/>
    </xf>
    <xf numFmtId="178" fontId="22" fillId="0" borderId="18" xfId="112" applyNumberFormat="1" applyFont="1" applyBorder="1" applyAlignment="1" applyProtection="1">
      <alignment vertical="center"/>
      <protection/>
    </xf>
    <xf numFmtId="182" fontId="0" fillId="0" borderId="18" xfId="112" applyFont="1" applyBorder="1" applyAlignment="1" applyProtection="1">
      <alignment vertical="center"/>
      <protection/>
    </xf>
    <xf numFmtId="182" fontId="22" fillId="0" borderId="18" xfId="112" applyFont="1" applyBorder="1" applyAlignment="1" applyProtection="1">
      <alignment vertical="center"/>
      <protection/>
    </xf>
    <xf numFmtId="182" fontId="27" fillId="0" borderId="18" xfId="112" applyFont="1" applyBorder="1" applyAlignment="1" applyProtection="1">
      <alignment vertical="center"/>
      <protection/>
    </xf>
    <xf numFmtId="182" fontId="31" fillId="0" borderId="0" xfId="112" applyFont="1" applyBorder="1" applyAlignment="1" applyProtection="1">
      <alignment horizontal="centerContinuous" vertical="center"/>
      <protection/>
    </xf>
    <xf numFmtId="182" fontId="22" fillId="0" borderId="0" xfId="112" applyFont="1" applyBorder="1" applyAlignment="1" applyProtection="1">
      <alignment vertical="center"/>
      <protection/>
    </xf>
    <xf numFmtId="182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2" fontId="0" fillId="0" borderId="0" xfId="112" applyFont="1" applyAlignment="1" applyProtection="1">
      <alignment horizontal="right" vertical="center" indent="1"/>
      <protection/>
    </xf>
    <xf numFmtId="0" fontId="49" fillId="4" borderId="0" xfId="112" applyNumberFormat="1" applyFont="1" applyFill="1" applyAlignment="1" applyProtection="1">
      <alignment vertical="center"/>
      <protection/>
    </xf>
    <xf numFmtId="182" fontId="49" fillId="4" borderId="0" xfId="112" applyFont="1" applyFill="1" applyAlignment="1" applyProtection="1">
      <alignment vertical="center"/>
      <protection/>
    </xf>
    <xf numFmtId="182" fontId="31" fillId="0" borderId="0" xfId="112" applyFont="1" applyAlignment="1" applyProtection="1">
      <alignment horizontal="right" vertical="center"/>
      <protection/>
    </xf>
    <xf numFmtId="182" fontId="0" fillId="0" borderId="0" xfId="112" applyFont="1" applyAlignment="1" applyProtection="1">
      <alignment horizontal="left" vertical="center"/>
      <protection/>
    </xf>
    <xf numFmtId="1" fontId="49" fillId="0" borderId="0" xfId="112" applyNumberFormat="1" applyFont="1" applyAlignment="1" applyProtection="1">
      <alignment horizontal="center" vertical="center"/>
      <protection/>
    </xf>
    <xf numFmtId="182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8" fontId="25" fillId="0" borderId="0" xfId="112" applyNumberFormat="1" applyFont="1" applyAlignment="1" applyProtection="1">
      <alignment horizontal="left" vertical="center"/>
      <protection/>
    </xf>
    <xf numFmtId="182" fontId="25" fillId="0" borderId="0" xfId="112" applyFont="1" applyAlignment="1" applyProtection="1">
      <alignment vertical="center"/>
      <protection/>
    </xf>
    <xf numFmtId="182" fontId="21" fillId="0" borderId="0" xfId="112" applyFont="1" applyAlignment="1" applyProtection="1">
      <alignment vertical="center"/>
      <protection/>
    </xf>
    <xf numFmtId="182" fontId="32" fillId="0" borderId="0" xfId="112" applyFont="1" applyBorder="1" applyAlignment="1" applyProtection="1">
      <alignment vertical="center"/>
      <protection/>
    </xf>
    <xf numFmtId="182" fontId="49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2" fontId="32" fillId="0" borderId="0" xfId="112" applyNumberFormat="1" applyFont="1" applyAlignment="1" applyProtection="1">
      <alignment vertical="center"/>
      <protection/>
    </xf>
    <xf numFmtId="1" fontId="31" fillId="0" borderId="0" xfId="112" applyNumberFormat="1" applyFont="1" applyAlignment="1" applyProtection="1">
      <alignment vertical="center"/>
      <protection/>
    </xf>
    <xf numFmtId="182" fontId="24" fillId="0" borderId="0" xfId="112" applyFont="1" applyAlignment="1" applyProtection="1">
      <alignment vertical="center"/>
      <protection/>
    </xf>
    <xf numFmtId="182" fontId="32" fillId="0" borderId="0" xfId="112" applyFont="1" applyAlignment="1" applyProtection="1">
      <alignment vertical="center"/>
      <protection/>
    </xf>
    <xf numFmtId="182" fontId="32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2" fontId="32" fillId="0" borderId="0" xfId="112" applyFont="1" applyAlignment="1" applyProtection="1">
      <alignment horizontal="right" vertical="center"/>
      <protection/>
    </xf>
    <xf numFmtId="182" fontId="32" fillId="0" borderId="0" xfId="112" applyFont="1" applyAlignment="1" applyProtection="1">
      <alignment horizontal="center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2" fillId="0" borderId="0" xfId="112" applyNumberFormat="1" applyFont="1" applyAlignment="1" applyProtection="1">
      <alignment horizontal="right" vertical="center"/>
      <protection/>
    </xf>
    <xf numFmtId="182" fontId="32" fillId="0" borderId="0" xfId="112" applyFont="1" applyBorder="1" applyAlignment="1" applyProtection="1">
      <alignment horizontal="center" vertical="center"/>
      <protection/>
    </xf>
    <xf numFmtId="182" fontId="0" fillId="0" borderId="0" xfId="112" applyFont="1" applyFill="1" applyBorder="1" applyAlignment="1" applyProtection="1">
      <alignment vertical="center"/>
      <protection/>
    </xf>
    <xf numFmtId="178" fontId="24" fillId="0" borderId="19" xfId="112" applyNumberFormat="1" applyFont="1" applyBorder="1" applyAlignment="1" applyProtection="1">
      <alignment horizontal="left" vertical="center"/>
      <protection/>
    </xf>
    <xf numFmtId="182" fontId="0" fillId="0" borderId="19" xfId="112" applyFont="1" applyBorder="1" applyAlignment="1" applyProtection="1">
      <alignment vertical="center"/>
      <protection/>
    </xf>
    <xf numFmtId="182" fontId="50" fillId="0" borderId="0" xfId="112" applyFont="1" applyFill="1" applyBorder="1" applyAlignment="1" applyProtection="1">
      <alignment vertical="center"/>
      <protection/>
    </xf>
    <xf numFmtId="182" fontId="49" fillId="0" borderId="0" xfId="112" applyFont="1" applyFill="1" applyBorder="1" applyAlignment="1" applyProtection="1">
      <alignment vertical="center"/>
      <protection/>
    </xf>
    <xf numFmtId="1" fontId="49" fillId="4" borderId="0" xfId="112" applyNumberFormat="1" applyFont="1" applyFill="1" applyBorder="1" applyAlignment="1" applyProtection="1">
      <alignment horizontal="right" vertical="center"/>
      <protection/>
    </xf>
    <xf numFmtId="1" fontId="49" fillId="4" borderId="0" xfId="112" applyNumberFormat="1" applyFont="1" applyFill="1" applyBorder="1" applyAlignment="1" applyProtection="1">
      <alignment vertical="center"/>
      <protection/>
    </xf>
    <xf numFmtId="182" fontId="49" fillId="0" borderId="0" xfId="112" applyFont="1" applyFill="1" applyBorder="1" applyAlignment="1" applyProtection="1">
      <alignment horizontal="center"/>
      <protection/>
    </xf>
    <xf numFmtId="182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2" fontId="0" fillId="0" borderId="20" xfId="112" applyFont="1" applyFill="1" applyBorder="1" applyAlignment="1" applyProtection="1">
      <alignment vertical="center"/>
      <protection/>
    </xf>
    <xf numFmtId="182" fontId="24" fillId="0" borderId="22" xfId="112" applyFont="1" applyBorder="1" applyAlignment="1" applyProtection="1">
      <alignment vertical="center"/>
      <protection/>
    </xf>
    <xf numFmtId="182" fontId="24" fillId="0" borderId="36" xfId="112" applyFont="1" applyBorder="1" applyAlignment="1" applyProtection="1">
      <alignment vertical="center"/>
      <protection/>
    </xf>
    <xf numFmtId="182" fontId="24" fillId="0" borderId="37" xfId="112" applyFont="1" applyBorder="1" applyAlignment="1" applyProtection="1">
      <alignment vertical="center"/>
      <protection/>
    </xf>
    <xf numFmtId="182" fontId="24" fillId="0" borderId="0" xfId="112" applyFont="1" applyBorder="1" applyAlignment="1" applyProtection="1">
      <alignment vertical="center"/>
      <protection/>
    </xf>
    <xf numFmtId="178" fontId="24" fillId="0" borderId="21" xfId="112" applyNumberFormat="1" applyFont="1" applyBorder="1" applyAlignment="1" applyProtection="1">
      <alignment horizontal="left" vertical="center"/>
      <protection/>
    </xf>
    <xf numFmtId="178" fontId="24" fillId="0" borderId="22" xfId="112" applyNumberFormat="1" applyFont="1" applyBorder="1" applyAlignment="1" applyProtection="1">
      <alignment horizontal="centerContinuous" vertical="center"/>
      <protection/>
    </xf>
    <xf numFmtId="182" fontId="28" fillId="0" borderId="37" xfId="112" applyFont="1" applyBorder="1" applyAlignment="1" applyProtection="1">
      <alignment horizontal="centerContinuous" vertical="center"/>
      <protection/>
    </xf>
    <xf numFmtId="182" fontId="0" fillId="0" borderId="37" xfId="112" applyFont="1" applyBorder="1" applyAlignment="1" applyProtection="1">
      <alignment horizontal="centerContinuous" vertical="center"/>
      <protection/>
    </xf>
    <xf numFmtId="182" fontId="33" fillId="0" borderId="0" xfId="112" applyFont="1" applyProtection="1">
      <alignment/>
      <protection/>
    </xf>
    <xf numFmtId="182" fontId="0" fillId="0" borderId="0" xfId="112" applyFont="1" applyAlignment="1" applyProtection="1">
      <alignment horizontal="center"/>
      <protection/>
    </xf>
    <xf numFmtId="178" fontId="24" fillId="0" borderId="20" xfId="112" applyNumberFormat="1" applyFont="1" applyFill="1" applyBorder="1" applyAlignment="1" applyProtection="1">
      <alignment horizontal="left" vertical="center"/>
      <protection/>
    </xf>
    <xf numFmtId="182" fontId="0" fillId="0" borderId="24" xfId="112" applyFont="1" applyBorder="1" applyAlignment="1" applyProtection="1">
      <alignment vertical="center"/>
      <protection/>
    </xf>
    <xf numFmtId="178" fontId="24" fillId="0" borderId="0" xfId="112" applyNumberFormat="1" applyFont="1" applyBorder="1" applyAlignment="1" applyProtection="1">
      <alignment horizontal="left" vertical="center"/>
      <protection/>
    </xf>
    <xf numFmtId="182" fontId="24" fillId="0" borderId="20" xfId="112" applyFont="1" applyBorder="1" applyAlignment="1" applyProtection="1">
      <alignment vertical="center"/>
      <protection/>
    </xf>
    <xf numFmtId="182" fontId="24" fillId="0" borderId="24" xfId="112" applyFont="1" applyBorder="1" applyAlignment="1" applyProtection="1">
      <alignment horizontal="centerContinuous" vertical="center"/>
      <protection/>
    </xf>
    <xf numFmtId="178" fontId="24" fillId="0" borderId="23" xfId="112" applyNumberFormat="1" applyFont="1" applyBorder="1" applyAlignment="1" applyProtection="1">
      <alignment horizontal="centerContinuous" vertical="center"/>
      <protection/>
    </xf>
    <xf numFmtId="178" fontId="24" fillId="0" borderId="23" xfId="112" applyNumberFormat="1" applyFont="1" applyBorder="1" applyAlignment="1" applyProtection="1">
      <alignment horizontal="center" vertical="center"/>
      <protection/>
    </xf>
    <xf numFmtId="178" fontId="33" fillId="0" borderId="26" xfId="112" applyNumberFormat="1" applyFont="1" applyBorder="1" applyAlignment="1" applyProtection="1">
      <alignment horizontal="centerContinuous" vertical="center"/>
      <protection/>
    </xf>
    <xf numFmtId="182" fontId="40" fillId="0" borderId="38" xfId="112" applyFont="1" applyBorder="1" applyAlignment="1" applyProtection="1">
      <alignment horizontal="centerContinuous" vertical="center"/>
      <protection/>
    </xf>
    <xf numFmtId="178" fontId="24" fillId="0" borderId="26" xfId="112" applyNumberFormat="1" applyFont="1" applyBorder="1" applyAlignment="1" applyProtection="1">
      <alignment horizontal="centerContinuous" vertical="center"/>
      <protection/>
    </xf>
    <xf numFmtId="182" fontId="0" fillId="0" borderId="38" xfId="112" applyFont="1" applyBorder="1" applyAlignment="1" applyProtection="1">
      <alignment horizontal="centerContinuous" vertical="center"/>
      <protection/>
    </xf>
    <xf numFmtId="182" fontId="0" fillId="0" borderId="26" xfId="112" applyFont="1" applyBorder="1" applyAlignment="1" applyProtection="1">
      <alignment vertical="center"/>
      <protection/>
    </xf>
    <xf numFmtId="182" fontId="0" fillId="0" borderId="38" xfId="112" applyFont="1" applyBorder="1" applyAlignment="1" applyProtection="1">
      <alignment vertical="center"/>
      <protection/>
    </xf>
    <xf numFmtId="182" fontId="0" fillId="0" borderId="0" xfId="112" applyFont="1" applyFill="1" applyBorder="1" applyAlignment="1" applyProtection="1">
      <alignment horizontal="center" vertical="center"/>
      <protection/>
    </xf>
    <xf numFmtId="182" fontId="24" fillId="0" borderId="0" xfId="112" applyFont="1" applyFill="1" applyBorder="1" applyAlignment="1" applyProtection="1">
      <alignment vertical="center"/>
      <protection/>
    </xf>
    <xf numFmtId="182" fontId="32" fillId="0" borderId="0" xfId="112" applyFont="1" applyAlignment="1" applyProtection="1">
      <alignment horizontal="left"/>
      <protection/>
    </xf>
    <xf numFmtId="182" fontId="24" fillId="0" borderId="24" xfId="112" applyFont="1" applyBorder="1" applyAlignment="1" applyProtection="1">
      <alignment vertical="center"/>
      <protection/>
    </xf>
    <xf numFmtId="178" fontId="24" fillId="0" borderId="20" xfId="112" applyNumberFormat="1" applyFont="1" applyBorder="1" applyAlignment="1" applyProtection="1">
      <alignment horizontal="centerContinuous" vertical="center"/>
      <protection/>
    </xf>
    <xf numFmtId="178" fontId="24" fillId="0" borderId="21" xfId="112" applyNumberFormat="1" applyFont="1" applyBorder="1" applyAlignment="1" applyProtection="1">
      <alignment horizontal="center" vertical="center"/>
      <protection/>
    </xf>
    <xf numFmtId="178" fontId="24" fillId="0" borderId="0" xfId="112" applyNumberFormat="1" applyFont="1" applyFill="1" applyBorder="1" applyAlignment="1" applyProtection="1">
      <alignment horizontal="center" vertical="center"/>
      <protection/>
    </xf>
    <xf numFmtId="182" fontId="49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82" fontId="24" fillId="0" borderId="26" xfId="112" applyFont="1" applyBorder="1" applyAlignment="1" applyProtection="1">
      <alignment vertical="center"/>
      <protection/>
    </xf>
    <xf numFmtId="182" fontId="24" fillId="0" borderId="19" xfId="112" applyFont="1" applyBorder="1" applyAlignment="1" applyProtection="1">
      <alignment vertical="center"/>
      <protection/>
    </xf>
    <xf numFmtId="182" fontId="24" fillId="0" borderId="38" xfId="112" applyFont="1" applyBorder="1" applyAlignment="1" applyProtection="1">
      <alignment vertical="center"/>
      <protection/>
    </xf>
    <xf numFmtId="182" fontId="24" fillId="0" borderId="25" xfId="112" applyFont="1" applyBorder="1" applyAlignment="1" applyProtection="1">
      <alignment horizontal="center" vertical="center"/>
      <protection/>
    </xf>
    <xf numFmtId="178" fontId="24" fillId="0" borderId="25" xfId="112" applyNumberFormat="1" applyFont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2" fontId="24" fillId="0" borderId="0" xfId="112" applyNumberFormat="1" applyFont="1" applyFill="1" applyBorder="1" applyAlignment="1" applyProtection="1">
      <alignment horizontal="right" vertical="center"/>
      <protection/>
    </xf>
    <xf numFmtId="182" fontId="24" fillId="0" borderId="39" xfId="112" applyFont="1" applyBorder="1" applyAlignment="1" applyProtection="1">
      <alignment vertical="center"/>
      <protection/>
    </xf>
    <xf numFmtId="182" fontId="24" fillId="0" borderId="33" xfId="112" applyFont="1" applyBorder="1" applyAlignment="1" applyProtection="1">
      <alignment vertical="center"/>
      <protection/>
    </xf>
    <xf numFmtId="182" fontId="24" fillId="0" borderId="33" xfId="112" applyFont="1" applyBorder="1" applyAlignment="1" applyProtection="1">
      <alignment horizontal="center" vertical="center"/>
      <protection/>
    </xf>
    <xf numFmtId="178" fontId="24" fillId="0" borderId="33" xfId="112" applyNumberFormat="1" applyFont="1" applyBorder="1" applyAlignment="1" applyProtection="1">
      <alignment horizontal="center" vertical="center"/>
      <protection/>
    </xf>
    <xf numFmtId="178" fontId="0" fillId="0" borderId="20" xfId="112" applyNumberFormat="1" applyFont="1" applyFill="1" applyBorder="1" applyAlignment="1" applyProtection="1">
      <alignment horizontal="left" vertical="center"/>
      <protection/>
    </xf>
    <xf numFmtId="182" fontId="0" fillId="0" borderId="40" xfId="112" applyFont="1" applyBorder="1" applyAlignment="1" applyProtection="1">
      <alignment vertical="center"/>
      <protection/>
    </xf>
    <xf numFmtId="178" fontId="0" fillId="0" borderId="34" xfId="112" applyNumberFormat="1" applyFont="1" applyBorder="1" applyAlignment="1" applyProtection="1">
      <alignment horizontal="left" vertical="center"/>
      <protection/>
    </xf>
    <xf numFmtId="3" fontId="0" fillId="5" borderId="41" xfId="112" applyNumberFormat="1" applyFont="1" applyFill="1" applyBorder="1" applyAlignment="1" applyProtection="1">
      <alignment vertical="center"/>
      <protection locked="0"/>
    </xf>
    <xf numFmtId="186" fontId="49" fillId="0" borderId="0" xfId="112" applyNumberFormat="1" applyFont="1" applyFill="1" applyBorder="1" applyAlignment="1" applyProtection="1">
      <alignment vertical="center"/>
      <protection/>
    </xf>
    <xf numFmtId="179" fontId="0" fillId="0" borderId="0" xfId="112" applyNumberFormat="1" applyFont="1" applyFill="1" applyBorder="1" applyAlignment="1" applyProtection="1">
      <alignment horizontal="right" vertical="center"/>
      <protection/>
    </xf>
    <xf numFmtId="182" fontId="0" fillId="0" borderId="42" xfId="112" applyFont="1" applyFill="1" applyBorder="1" applyAlignment="1" applyProtection="1">
      <alignment vertical="center"/>
      <protection/>
    </xf>
    <xf numFmtId="182" fontId="0" fillId="0" borderId="43" xfId="112" applyFont="1" applyFill="1" applyBorder="1" applyAlignment="1" applyProtection="1">
      <alignment vertical="center"/>
      <protection/>
    </xf>
    <xf numFmtId="3" fontId="0" fillId="5" borderId="43" xfId="112" applyNumberFormat="1" applyFont="1" applyFill="1" applyBorder="1" applyAlignment="1" applyProtection="1">
      <alignment vertical="center"/>
      <protection locked="0"/>
    </xf>
    <xf numFmtId="178" fontId="0" fillId="0" borderId="42" xfId="112" applyNumberFormat="1" applyFont="1" applyFill="1" applyBorder="1" applyAlignment="1" applyProtection="1">
      <alignment vertical="center"/>
      <protection/>
    </xf>
    <xf numFmtId="182" fontId="49" fillId="0" borderId="0" xfId="112" applyNumberFormat="1" applyFont="1" applyFill="1" applyBorder="1" applyAlignment="1" applyProtection="1">
      <alignment vertical="center"/>
      <protection/>
    </xf>
    <xf numFmtId="182" fontId="49" fillId="0" borderId="0" xfId="112" applyFont="1" applyBorder="1" applyAlignment="1" applyProtection="1">
      <alignment vertical="center"/>
      <protection/>
    </xf>
    <xf numFmtId="0" fontId="0" fillId="0" borderId="20" xfId="112" applyNumberFormat="1" applyFont="1" applyFill="1" applyBorder="1" applyAlignment="1" applyProtection="1">
      <alignment vertical="center"/>
      <protection/>
    </xf>
    <xf numFmtId="178" fontId="24" fillId="0" borderId="39" xfId="112" applyNumberFormat="1" applyFont="1" applyFill="1" applyBorder="1" applyAlignment="1" applyProtection="1">
      <alignment vertical="center"/>
      <protection/>
    </xf>
    <xf numFmtId="0" fontId="24" fillId="0" borderId="33" xfId="112" applyNumberFormat="1" applyFont="1" applyFill="1" applyBorder="1" applyAlignment="1" applyProtection="1">
      <alignment vertical="center"/>
      <protection/>
    </xf>
    <xf numFmtId="182" fontId="24" fillId="0" borderId="33" xfId="112" applyNumberFormat="1" applyFont="1" applyFill="1" applyBorder="1" applyAlignment="1" applyProtection="1">
      <alignment horizontal="center" vertical="center"/>
      <protection/>
    </xf>
    <xf numFmtId="186" fontId="24" fillId="0" borderId="33" xfId="112" applyNumberFormat="1" applyFont="1" applyFill="1" applyBorder="1" applyAlignment="1" applyProtection="1">
      <alignment vertical="center"/>
      <protection/>
    </xf>
    <xf numFmtId="186" fontId="0" fillId="0" borderId="0" xfId="112" applyNumberFormat="1" applyFont="1" applyFill="1" applyBorder="1" applyAlignment="1" applyProtection="1">
      <alignment vertical="center"/>
      <protection/>
    </xf>
    <xf numFmtId="0" fontId="0" fillId="0" borderId="44" xfId="112" applyNumberFormat="1" applyFont="1" applyFill="1" applyBorder="1" applyAlignment="1" applyProtection="1">
      <alignment vertical="center"/>
      <protection/>
    </xf>
    <xf numFmtId="0" fontId="0" fillId="0" borderId="45" xfId="112" applyNumberFormat="1" applyFont="1" applyFill="1" applyBorder="1" applyAlignment="1" applyProtection="1">
      <alignment vertical="center"/>
      <protection/>
    </xf>
    <xf numFmtId="182" fontId="0" fillId="11" borderId="21" xfId="112" applyFont="1" applyFill="1" applyBorder="1" applyAlignment="1" applyProtection="1">
      <alignment vertical="center"/>
      <protection/>
    </xf>
    <xf numFmtId="182" fontId="0" fillId="11" borderId="23" xfId="112" applyFont="1" applyFill="1" applyBorder="1" applyAlignment="1" applyProtection="1">
      <alignment vertical="center"/>
      <protection/>
    </xf>
    <xf numFmtId="0" fontId="0" fillId="0" borderId="43" xfId="112" applyNumberFormat="1" applyFont="1" applyFill="1" applyBorder="1" applyAlignment="1" applyProtection="1">
      <alignment vertical="center"/>
      <protection/>
    </xf>
    <xf numFmtId="182" fontId="32" fillId="0" borderId="0" xfId="112" applyNumberFormat="1" applyFont="1" applyBorder="1" applyAlignment="1" applyProtection="1">
      <alignment vertical="center"/>
      <protection/>
    </xf>
    <xf numFmtId="182" fontId="0" fillId="11" borderId="25" xfId="112" applyFont="1" applyFill="1" applyBorder="1" applyAlignment="1" applyProtection="1">
      <alignment vertical="center"/>
      <protection/>
    </xf>
    <xf numFmtId="178" fontId="0" fillId="0" borderId="0" xfId="112" applyNumberFormat="1" applyFont="1" applyBorder="1" applyAlignment="1" applyProtection="1">
      <alignment horizontal="left" vertical="center"/>
      <protection/>
    </xf>
    <xf numFmtId="179" fontId="0" fillId="0" borderId="0" xfId="112" applyNumberFormat="1" applyFont="1" applyBorder="1" applyAlignment="1" applyProtection="1">
      <alignment vertical="center"/>
      <protection/>
    </xf>
    <xf numFmtId="181" fontId="0" fillId="0" borderId="0" xfId="112" applyNumberFormat="1" applyFont="1" applyBorder="1" applyAlignment="1" applyProtection="1">
      <alignment vertical="center"/>
      <protection/>
    </xf>
    <xf numFmtId="181" fontId="0" fillId="0" borderId="0" xfId="112" applyNumberFormat="1" applyFont="1" applyBorder="1" applyAlignment="1" applyProtection="1">
      <alignment horizontal="right" vertical="center"/>
      <protection/>
    </xf>
    <xf numFmtId="198" fontId="0" fillId="0" borderId="25" xfId="112" applyNumberFormat="1" applyFont="1" applyBorder="1" applyAlignment="1" applyProtection="1">
      <alignment horizontal="right" vertical="center"/>
      <protection/>
    </xf>
    <xf numFmtId="198" fontId="0" fillId="0" borderId="17" xfId="112" applyNumberFormat="1" applyFont="1" applyBorder="1" applyAlignment="1" applyProtection="1">
      <alignment horizontal="right" vertical="center"/>
      <protection/>
    </xf>
    <xf numFmtId="181" fontId="0" fillId="0" borderId="0" xfId="112" applyNumberFormat="1" applyFont="1" applyBorder="1" applyAlignment="1" applyProtection="1">
      <alignment horizontal="left" vertical="center"/>
      <protection/>
    </xf>
    <xf numFmtId="182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2" fontId="34" fillId="0" borderId="0" xfId="112" applyFont="1" applyAlignment="1" applyProtection="1">
      <alignment vertical="center"/>
      <protection/>
    </xf>
    <xf numFmtId="182" fontId="0" fillId="0" borderId="0" xfId="112" applyFont="1" applyAlignment="1" applyProtection="1" quotePrefix="1">
      <alignment vertical="center"/>
      <protection/>
    </xf>
    <xf numFmtId="182" fontId="0" fillId="0" borderId="0" xfId="112" applyFont="1" applyAlignment="1" applyProtection="1" quotePrefix="1">
      <alignment horizontal="right" vertical="center"/>
      <protection/>
    </xf>
    <xf numFmtId="182" fontId="29" fillId="0" borderId="0" xfId="112" applyFont="1" applyAlignment="1" applyProtection="1">
      <alignment horizontal="right" vertical="center"/>
      <protection/>
    </xf>
    <xf numFmtId="182" fontId="48" fillId="0" borderId="0" xfId="112" applyFont="1" applyAlignment="1" applyProtection="1">
      <alignment vertical="center"/>
      <protection/>
    </xf>
    <xf numFmtId="182" fontId="48" fillId="0" borderId="0" xfId="112" applyFont="1" applyAlignment="1" applyProtection="1">
      <alignment horizontal="right" vertical="center"/>
      <protection/>
    </xf>
    <xf numFmtId="2" fontId="49" fillId="0" borderId="0" xfId="112" applyNumberFormat="1" applyFont="1" applyFill="1" applyBorder="1" applyAlignment="1" applyProtection="1">
      <alignment vertical="center"/>
      <protection/>
    </xf>
    <xf numFmtId="178" fontId="24" fillId="0" borderId="22" xfId="112" applyNumberFormat="1" applyFont="1" applyBorder="1" applyAlignment="1" applyProtection="1">
      <alignment horizontal="left" vertical="center"/>
      <protection/>
    </xf>
    <xf numFmtId="178" fontId="24" fillId="0" borderId="36" xfId="112" applyNumberFormat="1" applyFont="1" applyBorder="1" applyAlignment="1" applyProtection="1">
      <alignment horizontal="left" vertical="center"/>
      <protection/>
    </xf>
    <xf numFmtId="182" fontId="0" fillId="0" borderId="36" xfId="112" applyFont="1" applyBorder="1" applyAlignment="1" applyProtection="1">
      <alignment vertical="center"/>
      <protection/>
    </xf>
    <xf numFmtId="182" fontId="24" fillId="0" borderId="21" xfId="112" applyFont="1" applyBorder="1" applyAlignment="1" applyProtection="1">
      <alignment vertical="center"/>
      <protection/>
    </xf>
    <xf numFmtId="182" fontId="24" fillId="0" borderId="37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78" fontId="24" fillId="0" borderId="26" xfId="112" applyNumberFormat="1" applyFont="1" applyBorder="1" applyAlignment="1" applyProtection="1">
      <alignment horizontal="left" vertical="center"/>
      <protection/>
    </xf>
    <xf numFmtId="182" fontId="24" fillId="0" borderId="25" xfId="112" applyFont="1" applyBorder="1" applyAlignment="1" applyProtection="1">
      <alignment vertical="center"/>
      <protection/>
    </xf>
    <xf numFmtId="178" fontId="0" fillId="0" borderId="46" xfId="112" applyNumberFormat="1" applyFont="1" applyBorder="1" applyAlignment="1" applyProtection="1">
      <alignment horizontal="left" vertical="center"/>
      <protection/>
    </xf>
    <xf numFmtId="178" fontId="0" fillId="0" borderId="41" xfId="112" applyNumberFormat="1" applyFont="1" applyBorder="1" applyAlignment="1" applyProtection="1">
      <alignment horizontal="left" vertical="center"/>
      <protection/>
    </xf>
    <xf numFmtId="178" fontId="0" fillId="0" borderId="35" xfId="112" applyNumberFormat="1" applyFont="1" applyBorder="1" applyAlignment="1" applyProtection="1">
      <alignment horizontal="left" vertical="center"/>
      <protection/>
    </xf>
    <xf numFmtId="178" fontId="0" fillId="0" borderId="42" xfId="112" applyNumberFormat="1" applyFont="1" applyBorder="1" applyAlignment="1" applyProtection="1">
      <alignment horizontal="left" vertical="center"/>
      <protection/>
    </xf>
    <xf numFmtId="178" fontId="0" fillId="0" borderId="43" xfId="112" applyNumberFormat="1" applyFont="1" applyBorder="1" applyAlignment="1" applyProtection="1">
      <alignment horizontal="left" vertical="center"/>
      <protection/>
    </xf>
    <xf numFmtId="178" fontId="0" fillId="0" borderId="14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2" fontId="0" fillId="11" borderId="28" xfId="112" applyFont="1" applyFill="1" applyBorder="1" applyAlignment="1" applyProtection="1">
      <alignment vertical="center"/>
      <protection/>
    </xf>
    <xf numFmtId="182" fontId="24" fillId="0" borderId="0" xfId="112" applyFont="1" applyAlignment="1" applyProtection="1">
      <alignment horizontal="left" vertical="center"/>
      <protection/>
    </xf>
    <xf numFmtId="178" fontId="0" fillId="0" borderId="44" xfId="112" applyNumberFormat="1" applyFont="1" applyBorder="1" applyAlignment="1" applyProtection="1">
      <alignment horizontal="left" vertical="center"/>
      <protection/>
    </xf>
    <xf numFmtId="178" fontId="0" fillId="0" borderId="45" xfId="112" applyNumberFormat="1" applyFont="1" applyBorder="1" applyAlignment="1" applyProtection="1">
      <alignment horizontal="left" vertical="center"/>
      <protection/>
    </xf>
    <xf numFmtId="178" fontId="0" fillId="0" borderId="28" xfId="112" applyNumberFormat="1" applyFont="1" applyBorder="1" applyAlignment="1" applyProtection="1">
      <alignment horizontal="left" vertical="center"/>
      <protection/>
    </xf>
    <xf numFmtId="2" fontId="0" fillId="11" borderId="25" xfId="112" applyNumberFormat="1" applyFont="1" applyFill="1" applyBorder="1" applyAlignment="1" applyProtection="1">
      <alignment horizontal="right" vertical="center" indent="1"/>
      <protection/>
    </xf>
    <xf numFmtId="182" fontId="0" fillId="11" borderId="38" xfId="112" applyFont="1" applyFill="1" applyBorder="1" applyAlignment="1" applyProtection="1">
      <alignment vertical="center"/>
      <protection/>
    </xf>
    <xf numFmtId="182" fontId="49" fillId="0" borderId="0" xfId="112" applyFont="1" applyAlignment="1" applyProtection="1">
      <alignment horizontal="right" vertical="center"/>
      <protection/>
    </xf>
    <xf numFmtId="182" fontId="0" fillId="0" borderId="0" xfId="112" applyFont="1" applyAlignment="1" applyProtection="1">
      <alignment horizontal="right" vertical="center"/>
      <protection/>
    </xf>
    <xf numFmtId="182" fontId="0" fillId="0" borderId="0" xfId="112" applyFont="1" applyAlignment="1" applyProtection="1">
      <alignment horizontal="center" vertical="center"/>
      <protection/>
    </xf>
    <xf numFmtId="178" fontId="24" fillId="0" borderId="0" xfId="112" applyNumberFormat="1" applyFont="1" applyAlignment="1" applyProtection="1">
      <alignment horizontal="left" vertical="center"/>
      <protection/>
    </xf>
    <xf numFmtId="182" fontId="24" fillId="0" borderId="0" xfId="112" applyFont="1" applyAlignment="1" applyProtection="1">
      <alignment horizontal="right" vertical="center"/>
      <protection/>
    </xf>
    <xf numFmtId="182" fontId="53" fillId="0" borderId="0" xfId="112" applyFont="1" applyAlignment="1" applyProtection="1">
      <alignment vertical="center"/>
      <protection/>
    </xf>
    <xf numFmtId="180" fontId="0" fillId="0" borderId="0" xfId="112" applyNumberFormat="1" applyFont="1" applyBorder="1" applyAlignment="1" applyProtection="1">
      <alignment vertical="center"/>
      <protection/>
    </xf>
    <xf numFmtId="198" fontId="0" fillId="0" borderId="17" xfId="112" applyNumberFormat="1" applyFont="1" applyBorder="1" applyAlignment="1" applyProtection="1">
      <alignment vertical="center"/>
      <protection/>
    </xf>
    <xf numFmtId="178" fontId="25" fillId="0" borderId="0" xfId="112" applyNumberFormat="1" applyFont="1" applyBorder="1" applyAlignment="1" applyProtection="1">
      <alignment horizontal="left" vertical="center"/>
      <protection/>
    </xf>
    <xf numFmtId="179" fontId="24" fillId="0" borderId="0" xfId="112" applyNumberFormat="1" applyFont="1" applyBorder="1" applyAlignment="1" applyProtection="1">
      <alignment vertical="center"/>
      <protection/>
    </xf>
    <xf numFmtId="178" fontId="0" fillId="0" borderId="36" xfId="112" applyNumberFormat="1" applyFont="1" applyBorder="1" applyAlignment="1" applyProtection="1">
      <alignment horizontal="left" vertical="center"/>
      <protection/>
    </xf>
    <xf numFmtId="179" fontId="0" fillId="0" borderId="36" xfId="112" applyNumberFormat="1" applyFont="1" applyBorder="1" applyAlignment="1" applyProtection="1">
      <alignment vertical="center"/>
      <protection/>
    </xf>
    <xf numFmtId="181" fontId="0" fillId="0" borderId="36" xfId="112" applyNumberFormat="1" applyFont="1" applyBorder="1" applyAlignment="1" applyProtection="1">
      <alignment vertical="center"/>
      <protection/>
    </xf>
    <xf numFmtId="181" fontId="0" fillId="0" borderId="37" xfId="112" applyNumberFormat="1" applyFont="1" applyBorder="1" applyAlignment="1" applyProtection="1">
      <alignment horizontal="left" vertical="center"/>
      <protection/>
    </xf>
    <xf numFmtId="178" fontId="0" fillId="0" borderId="22" xfId="112" applyNumberFormat="1" applyFont="1" applyBorder="1" applyAlignment="1" applyProtection="1">
      <alignment horizontal="left" vertical="center"/>
      <protection/>
    </xf>
    <xf numFmtId="179" fontId="0" fillId="0" borderId="20" xfId="112" applyNumberFormat="1" applyFont="1" applyBorder="1" applyAlignment="1" applyProtection="1">
      <alignment vertical="center"/>
      <protection/>
    </xf>
    <xf numFmtId="182" fontId="0" fillId="0" borderId="21" xfId="112" applyFont="1" applyBorder="1" applyAlignment="1" applyProtection="1">
      <alignment horizontal="center" vertical="center"/>
      <protection/>
    </xf>
    <xf numFmtId="179" fontId="0" fillId="0" borderId="21" xfId="112" applyNumberFormat="1" applyFont="1" applyBorder="1" applyAlignment="1" applyProtection="1">
      <alignment horizontal="center" vertical="center"/>
      <protection/>
    </xf>
    <xf numFmtId="181" fontId="0" fillId="0" borderId="21" xfId="112" applyNumberFormat="1" applyFont="1" applyBorder="1" applyAlignment="1" applyProtection="1">
      <alignment horizontal="center" vertical="center"/>
      <protection/>
    </xf>
    <xf numFmtId="181" fontId="0" fillId="0" borderId="21" xfId="112" applyNumberFormat="1" applyFont="1" applyBorder="1" applyAlignment="1" applyProtection="1">
      <alignment horizontal="left" vertical="center"/>
      <protection/>
    </xf>
    <xf numFmtId="178" fontId="24" fillId="0" borderId="24" xfId="112" applyNumberFormat="1" applyFont="1" applyBorder="1" applyAlignment="1" applyProtection="1">
      <alignment horizontal="left" vertical="center"/>
      <protection/>
    </xf>
    <xf numFmtId="182" fontId="0" fillId="0" borderId="25" xfId="112" applyFont="1" applyBorder="1" applyAlignment="1" applyProtection="1">
      <alignment horizontal="center" vertical="center"/>
      <protection/>
    </xf>
    <xf numFmtId="179" fontId="0" fillId="0" borderId="25" xfId="112" applyNumberFormat="1" applyFont="1" applyBorder="1" applyAlignment="1" applyProtection="1" quotePrefix="1">
      <alignment horizontal="center" vertical="center"/>
      <protection/>
    </xf>
    <xf numFmtId="181" fontId="0" fillId="0" borderId="25" xfId="112" applyNumberFormat="1" applyFont="1" applyBorder="1" applyAlignment="1" applyProtection="1">
      <alignment horizontal="center" vertical="center"/>
      <protection/>
    </xf>
    <xf numFmtId="1" fontId="43" fillId="0" borderId="0" xfId="112" applyNumberFormat="1" applyFont="1" applyBorder="1" applyAlignment="1" applyProtection="1">
      <alignment vertical="center"/>
      <protection/>
    </xf>
    <xf numFmtId="179" fontId="0" fillId="11" borderId="21" xfId="112" applyNumberFormat="1" applyFont="1" applyFill="1" applyBorder="1" applyAlignment="1" applyProtection="1">
      <alignment horizontal="left" vertical="center"/>
      <protection/>
    </xf>
    <xf numFmtId="178" fontId="0" fillId="0" borderId="40" xfId="112" applyNumberFormat="1" applyFont="1" applyBorder="1" applyAlignment="1" applyProtection="1">
      <alignment horizontal="left" vertical="center"/>
      <protection/>
    </xf>
    <xf numFmtId="179" fontId="0" fillId="5" borderId="29" xfId="112" applyNumberFormat="1" applyFont="1" applyFill="1" applyBorder="1" applyAlignment="1" applyProtection="1">
      <alignment vertical="center"/>
      <protection locked="0"/>
    </xf>
    <xf numFmtId="179" fontId="0" fillId="11" borderId="23" xfId="112" applyNumberFormat="1" applyFont="1" applyFill="1" applyBorder="1" applyAlignment="1" applyProtection="1">
      <alignment horizontal="left" vertical="center"/>
      <protection/>
    </xf>
    <xf numFmtId="1" fontId="43" fillId="0" borderId="0" xfId="112" applyNumberFormat="1" applyFont="1" applyAlignment="1" applyProtection="1">
      <alignment vertical="center"/>
      <protection/>
    </xf>
    <xf numFmtId="182" fontId="0" fillId="0" borderId="22" xfId="112" applyFont="1" applyBorder="1" applyAlignment="1" applyProtection="1">
      <alignment vertical="center"/>
      <protection/>
    </xf>
    <xf numFmtId="182" fontId="0" fillId="0" borderId="42" xfId="112" applyFont="1" applyBorder="1" applyAlignment="1" applyProtection="1">
      <alignment vertical="center"/>
      <protection/>
    </xf>
    <xf numFmtId="182" fontId="0" fillId="0" borderId="43" xfId="112" applyFont="1" applyBorder="1" applyAlignment="1" applyProtection="1">
      <alignment vertical="center"/>
      <protection/>
    </xf>
    <xf numFmtId="182" fontId="0" fillId="0" borderId="34" xfId="112" applyFont="1" applyBorder="1" applyAlignment="1" applyProtection="1">
      <alignment vertical="center"/>
      <protection/>
    </xf>
    <xf numFmtId="179" fontId="0" fillId="11" borderId="15" xfId="112" applyNumberFormat="1" applyFont="1" applyFill="1" applyBorder="1" applyAlignment="1" applyProtection="1">
      <alignment horizontal="left" vertical="center"/>
      <protection/>
    </xf>
    <xf numFmtId="179" fontId="0" fillId="11" borderId="27" xfId="112" applyNumberFormat="1" applyFont="1" applyFill="1" applyBorder="1" applyAlignment="1" applyProtection="1">
      <alignment vertical="center"/>
      <protection/>
    </xf>
    <xf numFmtId="179" fontId="0" fillId="11" borderId="23" xfId="112" applyNumberFormat="1" applyFont="1" applyFill="1" applyBorder="1" applyAlignment="1" applyProtection="1">
      <alignment vertical="center"/>
      <protection/>
    </xf>
    <xf numFmtId="179" fontId="0" fillId="11" borderId="15" xfId="112" applyNumberFormat="1" applyFont="1" applyFill="1" applyBorder="1" applyAlignment="1" applyProtection="1">
      <alignment vertical="center"/>
      <protection/>
    </xf>
    <xf numFmtId="182" fontId="0" fillId="0" borderId="47" xfId="112" applyFont="1" applyBorder="1" applyAlignment="1" applyProtection="1">
      <alignment vertical="center"/>
      <protection/>
    </xf>
    <xf numFmtId="179" fontId="0" fillId="11" borderId="25" xfId="112" applyNumberFormat="1" applyFont="1" applyFill="1" applyBorder="1" applyAlignment="1" applyProtection="1">
      <alignment vertical="center"/>
      <protection/>
    </xf>
    <xf numFmtId="179" fontId="0" fillId="0" borderId="38" xfId="112" applyNumberFormat="1" applyFont="1" applyBorder="1" applyAlignment="1" applyProtection="1">
      <alignment vertical="center"/>
      <protection/>
    </xf>
    <xf numFmtId="179" fontId="0" fillId="0" borderId="48" xfId="112" applyNumberFormat="1" applyFont="1" applyBorder="1" applyAlignment="1" applyProtection="1">
      <alignment vertical="center"/>
      <protection/>
    </xf>
    <xf numFmtId="179" fontId="0" fillId="0" borderId="0" xfId="112" applyNumberFormat="1" applyFont="1" applyBorder="1" applyAlignment="1" applyProtection="1">
      <alignment horizontal="left" vertical="center"/>
      <protection/>
    </xf>
    <xf numFmtId="182" fontId="35" fillId="0" borderId="0" xfId="112" applyFont="1" applyAlignment="1" applyProtection="1">
      <alignment horizontal="right" vertical="center"/>
      <protection/>
    </xf>
    <xf numFmtId="179" fontId="0" fillId="0" borderId="0" xfId="112" applyNumberFormat="1" applyFont="1" applyAlignment="1" applyProtection="1">
      <alignment vertical="center"/>
      <protection/>
    </xf>
    <xf numFmtId="179" fontId="0" fillId="0" borderId="19" xfId="112" applyNumberFormat="1" applyFont="1" applyBorder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182" fontId="49" fillId="0" borderId="0" xfId="112" applyNumberFormat="1" applyFont="1" applyAlignment="1" applyProtection="1">
      <alignment vertical="center"/>
      <protection/>
    </xf>
    <xf numFmtId="1" fontId="49" fillId="0" borderId="0" xfId="112" applyNumberFormat="1" applyFont="1" applyBorder="1" applyAlignment="1" applyProtection="1">
      <alignment horizontal="center" vertical="center"/>
      <protection/>
    </xf>
    <xf numFmtId="182" fontId="31" fillId="0" borderId="0" xfId="112" applyFont="1" applyProtection="1">
      <alignment/>
      <protection/>
    </xf>
    <xf numFmtId="182" fontId="0" fillId="0" borderId="37" xfId="112" applyFont="1" applyBorder="1" applyAlignment="1" applyProtection="1">
      <alignment vertical="center"/>
      <protection/>
    </xf>
    <xf numFmtId="179" fontId="24" fillId="0" borderId="22" xfId="112" applyNumberFormat="1" applyFont="1" applyBorder="1" applyAlignment="1" applyProtection="1">
      <alignment horizontal="centerContinuous" vertical="center"/>
      <protection/>
    </xf>
    <xf numFmtId="182" fontId="24" fillId="0" borderId="37" xfId="112" applyFont="1" applyBorder="1" applyAlignment="1" applyProtection="1">
      <alignment horizontal="centerContinuous" vertical="center"/>
      <protection/>
    </xf>
    <xf numFmtId="182" fontId="49" fillId="0" borderId="0" xfId="112" applyFont="1" applyAlignment="1" applyProtection="1">
      <alignment horizontal="left" vertical="center"/>
      <protection/>
    </xf>
    <xf numFmtId="2" fontId="49" fillId="0" borderId="0" xfId="112" applyNumberFormat="1" applyFont="1" applyBorder="1" applyAlignment="1" applyProtection="1">
      <alignment vertical="center"/>
      <protection/>
    </xf>
    <xf numFmtId="182" fontId="0" fillId="0" borderId="20" xfId="112" applyFont="1" applyBorder="1" applyAlignment="1" applyProtection="1">
      <alignment vertical="center"/>
      <protection/>
    </xf>
    <xf numFmtId="198" fontId="0" fillId="5" borderId="29" xfId="112" applyNumberFormat="1" applyFont="1" applyFill="1" applyBorder="1" applyAlignment="1" applyProtection="1">
      <alignment vertical="center"/>
      <protection locked="0"/>
    </xf>
    <xf numFmtId="179" fontId="24" fillId="0" borderId="26" xfId="112" applyNumberFormat="1" applyFont="1" applyBorder="1" applyAlignment="1" applyProtection="1">
      <alignment horizontal="centerContinuous" vertical="center"/>
      <protection/>
    </xf>
    <xf numFmtId="182" fontId="24" fillId="0" borderId="38" xfId="112" applyFont="1" applyBorder="1" applyAlignment="1" applyProtection="1">
      <alignment horizontal="centerContinuous" vertical="center"/>
      <protection/>
    </xf>
    <xf numFmtId="179" fontId="24" fillId="0" borderId="26" xfId="112" applyNumberFormat="1" applyFont="1" applyBorder="1" applyAlignment="1" applyProtection="1">
      <alignment vertical="center"/>
      <protection/>
    </xf>
    <xf numFmtId="178" fontId="24" fillId="0" borderId="25" xfId="112" applyNumberFormat="1" applyFont="1" applyBorder="1" applyAlignment="1" applyProtection="1">
      <alignment horizontal="right" vertical="center"/>
      <protection/>
    </xf>
    <xf numFmtId="178" fontId="24" fillId="0" borderId="26" xfId="112" applyNumberFormat="1" applyFont="1" applyBorder="1" applyAlignment="1" applyProtection="1">
      <alignment horizontal="center" vertical="center"/>
      <protection/>
    </xf>
    <xf numFmtId="178" fontId="24" fillId="0" borderId="17" xfId="112" applyNumberFormat="1" applyFont="1" applyBorder="1" applyAlignment="1" applyProtection="1">
      <alignment horizontal="center" vertical="center"/>
      <protection/>
    </xf>
    <xf numFmtId="178" fontId="24" fillId="0" borderId="48" xfId="112" applyNumberFormat="1" applyFont="1" applyBorder="1" applyAlignment="1" applyProtection="1">
      <alignment horizontal="center" vertical="center"/>
      <protection/>
    </xf>
    <xf numFmtId="1" fontId="0" fillId="11" borderId="21" xfId="112" applyNumberFormat="1" applyFont="1" applyFill="1" applyBorder="1" applyAlignment="1" applyProtection="1">
      <alignment vertical="center"/>
      <protection/>
    </xf>
    <xf numFmtId="178" fontId="50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23" xfId="112" applyNumberFormat="1" applyFont="1" applyFill="1" applyBorder="1" applyAlignment="1" applyProtection="1">
      <alignment vertical="center"/>
      <protection/>
    </xf>
    <xf numFmtId="178" fontId="50" fillId="0" borderId="0" xfId="112" applyNumberFormat="1" applyFont="1" applyBorder="1" applyAlignment="1" applyProtection="1">
      <alignment horizontal="left" vertical="center"/>
      <protection/>
    </xf>
    <xf numFmtId="1" fontId="0" fillId="11" borderId="49" xfId="112" applyNumberFormat="1" applyFont="1" applyFill="1" applyBorder="1" applyAlignment="1" applyProtection="1">
      <alignment vertical="center"/>
      <protection/>
    </xf>
    <xf numFmtId="178" fontId="24" fillId="0" borderId="50" xfId="112" applyNumberFormat="1" applyFont="1" applyBorder="1" applyAlignment="1" applyProtection="1">
      <alignment horizontal="left" vertical="center"/>
      <protection/>
    </xf>
    <xf numFmtId="178" fontId="24" fillId="0" borderId="51" xfId="112" applyNumberFormat="1" applyFont="1" applyBorder="1" applyAlignment="1" applyProtection="1">
      <alignment horizontal="left" vertical="center"/>
      <protection/>
    </xf>
    <xf numFmtId="178" fontId="24" fillId="0" borderId="52" xfId="112" applyNumberFormat="1" applyFont="1" applyBorder="1" applyAlignment="1" applyProtection="1">
      <alignment horizontal="left" vertical="center"/>
      <protection/>
    </xf>
    <xf numFmtId="181" fontId="24" fillId="0" borderId="53" xfId="112" applyNumberFormat="1" applyFont="1" applyBorder="1" applyAlignment="1" applyProtection="1">
      <alignment vertical="center"/>
      <protection/>
    </xf>
    <xf numFmtId="181" fontId="24" fillId="0" borderId="54" xfId="112" applyNumberFormat="1" applyFont="1" applyBorder="1" applyAlignment="1" applyProtection="1">
      <alignment vertical="center"/>
      <protection/>
    </xf>
    <xf numFmtId="182" fontId="50" fillId="0" borderId="0" xfId="112" applyNumberFormat="1" applyFont="1" applyAlignment="1" applyProtection="1">
      <alignment vertical="center"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1" fontId="0" fillId="0" borderId="26" xfId="112" applyNumberFormat="1" applyFont="1" applyBorder="1" applyAlignment="1" applyProtection="1">
      <alignment vertical="center"/>
      <protection/>
    </xf>
    <xf numFmtId="1" fontId="0" fillId="0" borderId="19" xfId="112" applyNumberFormat="1" applyFont="1" applyBorder="1" applyAlignment="1" applyProtection="1">
      <alignment vertical="center"/>
      <protection/>
    </xf>
    <xf numFmtId="1" fontId="0" fillId="0" borderId="38" xfId="112" applyNumberFormat="1" applyFont="1" applyBorder="1" applyAlignment="1" applyProtection="1">
      <alignment vertical="center"/>
      <protection/>
    </xf>
    <xf numFmtId="182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2" fontId="52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2" fontId="0" fillId="0" borderId="0" xfId="112" applyFont="1" applyFill="1" applyAlignment="1" applyProtection="1">
      <alignment vertical="center"/>
      <protection/>
    </xf>
    <xf numFmtId="182" fontId="24" fillId="0" borderId="55" xfId="112" applyNumberFormat="1" applyFont="1" applyBorder="1" applyAlignment="1" applyProtection="1">
      <alignment vertical="center"/>
      <protection/>
    </xf>
    <xf numFmtId="182" fontId="24" fillId="0" borderId="56" xfId="112" applyNumberFormat="1" applyFont="1" applyBorder="1" applyAlignment="1" applyProtection="1">
      <alignment vertical="center"/>
      <protection/>
    </xf>
    <xf numFmtId="182" fontId="0" fillId="0" borderId="56" xfId="112" applyFont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vertical="center"/>
      <protection/>
    </xf>
    <xf numFmtId="1" fontId="0" fillId="0" borderId="56" xfId="112" applyNumberFormat="1" applyFont="1" applyFill="1" applyBorder="1" applyAlignment="1" applyProtection="1">
      <alignment vertical="center"/>
      <protection/>
    </xf>
    <xf numFmtId="1" fontId="0" fillId="0" borderId="57" xfId="112" applyNumberFormat="1" applyFont="1" applyBorder="1" applyAlignment="1" applyProtection="1">
      <alignment horizontal="center" vertical="center"/>
      <protection/>
    </xf>
    <xf numFmtId="1" fontId="0" fillId="0" borderId="58" xfId="112" applyNumberFormat="1" applyFont="1" applyBorder="1" applyAlignment="1" applyProtection="1">
      <alignment horizontal="center" vertical="center"/>
      <protection/>
    </xf>
    <xf numFmtId="182" fontId="24" fillId="4" borderId="0" xfId="112" applyFont="1" applyFill="1" applyAlignment="1" applyProtection="1">
      <alignment vertical="center"/>
      <protection/>
    </xf>
    <xf numFmtId="182" fontId="33" fillId="0" borderId="0" xfId="112" applyNumberFormat="1" applyFont="1" applyAlignment="1" applyProtection="1">
      <alignment vertical="center"/>
      <protection/>
    </xf>
    <xf numFmtId="182" fontId="1" fillId="0" borderId="0" xfId="112" applyFont="1" applyAlignment="1" applyProtection="1">
      <alignment vertical="center"/>
      <protection/>
    </xf>
    <xf numFmtId="182" fontId="32" fillId="0" borderId="0" xfId="112" applyFont="1" applyAlignment="1" applyProtection="1" quotePrefix="1">
      <alignment vertical="center"/>
      <protection/>
    </xf>
    <xf numFmtId="182" fontId="48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4" xfId="0" applyNumberFormat="1" applyFont="1" applyFill="1" applyBorder="1" applyAlignment="1" applyProtection="1">
      <alignment/>
      <protection locked="0"/>
    </xf>
    <xf numFmtId="182" fontId="48" fillId="4" borderId="0" xfId="112" applyFont="1" applyFill="1" applyAlignment="1" applyProtection="1">
      <alignment vertical="center"/>
      <protection/>
    </xf>
    <xf numFmtId="182" fontId="0" fillId="0" borderId="44" xfId="112" applyFont="1" applyBorder="1" applyAlignment="1" applyProtection="1">
      <alignment vertical="center"/>
      <protection/>
    </xf>
    <xf numFmtId="182" fontId="0" fillId="0" borderId="45" xfId="112" applyFont="1" applyBorder="1" applyAlignment="1" applyProtection="1">
      <alignment vertical="center"/>
      <protection/>
    </xf>
    <xf numFmtId="178" fontId="24" fillId="0" borderId="17" xfId="112" applyNumberFormat="1" applyFont="1" applyBorder="1" applyAlignment="1" applyProtection="1">
      <alignment horizontal="centerContinuous" vertical="center"/>
      <protection/>
    </xf>
    <xf numFmtId="181" fontId="0" fillId="0" borderId="36" xfId="112" applyNumberFormat="1" applyFont="1" applyBorder="1" applyAlignment="1" applyProtection="1">
      <alignment horizontal="left" vertical="center"/>
      <protection/>
    </xf>
    <xf numFmtId="181" fontId="0" fillId="0" borderId="40" xfId="112" applyNumberFormat="1" applyFont="1" applyBorder="1" applyAlignment="1" applyProtection="1">
      <alignment horizontal="centerContinuous" vertical="center"/>
      <protection/>
    </xf>
    <xf numFmtId="181" fontId="0" fillId="0" borderId="59" xfId="112" applyNumberFormat="1" applyFont="1" applyBorder="1" applyAlignment="1" applyProtection="1">
      <alignment horizontal="centerContinuous" vertical="center"/>
      <protection/>
    </xf>
    <xf numFmtId="181" fontId="0" fillId="0" borderId="28" xfId="112" applyNumberFormat="1" applyFont="1" applyBorder="1" applyAlignment="1" applyProtection="1">
      <alignment horizontal="centerContinuous" vertical="center"/>
      <protection/>
    </xf>
    <xf numFmtId="0" fontId="48" fillId="0" borderId="0" xfId="0" applyFont="1" applyAlignment="1" applyProtection="1">
      <alignment/>
      <protection/>
    </xf>
    <xf numFmtId="178" fontId="0" fillId="0" borderId="60" xfId="112" applyNumberFormat="1" applyFont="1" applyBorder="1" applyAlignment="1" applyProtection="1">
      <alignment horizontal="left" vertical="center"/>
      <protection/>
    </xf>
    <xf numFmtId="178" fontId="0" fillId="0" borderId="47" xfId="112" applyNumberFormat="1" applyFont="1" applyBorder="1" applyAlignment="1" applyProtection="1">
      <alignment horizontal="left" vertical="center"/>
      <protection/>
    </xf>
    <xf numFmtId="178" fontId="0" fillId="0" borderId="30" xfId="112" applyNumberFormat="1" applyFont="1" applyBorder="1" applyAlignment="1" applyProtection="1">
      <alignment horizontal="left" vertical="center"/>
      <protection/>
    </xf>
    <xf numFmtId="182" fontId="54" fillId="0" borderId="0" xfId="112" applyFont="1" applyAlignment="1" applyProtection="1">
      <alignment vertical="center"/>
      <protection/>
    </xf>
    <xf numFmtId="182" fontId="24" fillId="0" borderId="0" xfId="112" applyNumberFormat="1" applyFont="1" applyFill="1" applyBorder="1" applyAlignment="1" applyProtection="1">
      <alignment vertical="center"/>
      <protection/>
    </xf>
    <xf numFmtId="182" fontId="1" fillId="0" borderId="0" xfId="112" applyNumberFormat="1" applyFont="1" applyFill="1" applyBorder="1" applyAlignment="1" applyProtection="1">
      <alignment vertical="center"/>
      <protection/>
    </xf>
    <xf numFmtId="180" fontId="0" fillId="0" borderId="31" xfId="112" applyNumberFormat="1" applyFont="1" applyFill="1" applyBorder="1" applyAlignment="1" applyProtection="1">
      <alignment vertical="center"/>
      <protection/>
    </xf>
    <xf numFmtId="49" fontId="42" fillId="5" borderId="34" xfId="101" applyNumberFormat="1" applyFont="1" applyFill="1" applyBorder="1" applyAlignment="1" applyProtection="1">
      <alignment horizontal="left"/>
      <protection locked="0"/>
    </xf>
    <xf numFmtId="182" fontId="0" fillId="4" borderId="0" xfId="112" applyFont="1" applyFill="1" applyBorder="1" applyAlignment="1" applyProtection="1">
      <alignment vertical="center"/>
      <protection/>
    </xf>
    <xf numFmtId="182" fontId="0" fillId="0" borderId="46" xfId="112" applyFont="1" applyBorder="1" applyAlignment="1" applyProtection="1">
      <alignment vertical="center"/>
      <protection/>
    </xf>
    <xf numFmtId="182" fontId="0" fillId="0" borderId="41" xfId="112" applyFont="1" applyBorder="1" applyAlignment="1" applyProtection="1">
      <alignment vertical="center"/>
      <protection/>
    </xf>
    <xf numFmtId="2" fontId="49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6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92" fontId="0" fillId="0" borderId="0" xfId="0" applyNumberFormat="1" applyFont="1" applyFill="1" applyBorder="1" applyAlignment="1" applyProtection="1">
      <alignment horizontal="left"/>
      <protection/>
    </xf>
    <xf numFmtId="178" fontId="0" fillId="11" borderId="21" xfId="112" applyNumberFormat="1" applyFont="1" applyFill="1" applyBorder="1" applyAlignment="1" applyProtection="1">
      <alignment/>
      <protection/>
    </xf>
    <xf numFmtId="178" fontId="0" fillId="11" borderId="23" xfId="112" applyNumberFormat="1" applyFont="1" applyFill="1" applyBorder="1" applyAlignment="1" applyProtection="1">
      <alignment/>
      <protection/>
    </xf>
    <xf numFmtId="178" fontId="0" fillId="11" borderId="25" xfId="112" applyNumberFormat="1" applyFont="1" applyFill="1" applyBorder="1" applyAlignment="1" applyProtection="1">
      <alignment/>
      <protection/>
    </xf>
    <xf numFmtId="0" fontId="49" fillId="0" borderId="4" xfId="0" applyFont="1" applyBorder="1" applyAlignment="1" applyProtection="1">
      <alignment/>
      <protection/>
    </xf>
    <xf numFmtId="180" fontId="24" fillId="0" borderId="0" xfId="112" applyNumberFormat="1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61" xfId="0" applyFont="1" applyBorder="1" applyAlignment="1" applyProtection="1">
      <alignment/>
      <protection/>
    </xf>
    <xf numFmtId="178" fontId="0" fillId="0" borderId="62" xfId="112" applyNumberFormat="1" applyFont="1" applyBorder="1" applyAlignment="1" applyProtection="1">
      <alignment horizontal="left" vertical="center"/>
      <protection/>
    </xf>
    <xf numFmtId="178" fontId="0" fillId="0" borderId="63" xfId="112" applyNumberFormat="1" applyFont="1" applyBorder="1" applyAlignment="1" applyProtection="1">
      <alignment horizontal="left" vertical="center"/>
      <protection/>
    </xf>
    <xf numFmtId="178" fontId="0" fillId="0" borderId="64" xfId="112" applyNumberFormat="1" applyFont="1" applyBorder="1" applyAlignment="1" applyProtection="1">
      <alignment horizontal="left" vertical="center"/>
      <protection/>
    </xf>
    <xf numFmtId="179" fontId="0" fillId="0" borderId="25" xfId="112" applyNumberFormat="1" applyFont="1" applyBorder="1" applyAlignment="1" applyProtection="1">
      <alignment vertical="center"/>
      <protection/>
    </xf>
    <xf numFmtId="179" fontId="0" fillId="0" borderId="52" xfId="112" applyNumberFormat="1" applyFont="1" applyBorder="1" applyAlignment="1" applyProtection="1">
      <alignment vertical="center"/>
      <protection/>
    </xf>
    <xf numFmtId="179" fontId="24" fillId="0" borderId="53" xfId="112" applyNumberFormat="1" applyFont="1" applyBorder="1" applyAlignment="1" applyProtection="1">
      <alignment vertical="center"/>
      <protection/>
    </xf>
    <xf numFmtId="179" fontId="0" fillId="0" borderId="53" xfId="112" applyNumberFormat="1" applyFont="1" applyBorder="1" applyAlignment="1" applyProtection="1">
      <alignment vertical="center"/>
      <protection/>
    </xf>
    <xf numFmtId="179" fontId="0" fillId="0" borderId="65" xfId="112" applyNumberFormat="1" applyFont="1" applyBorder="1" applyAlignment="1" applyProtection="1">
      <alignment vertical="center"/>
      <protection/>
    </xf>
    <xf numFmtId="182" fontId="24" fillId="0" borderId="66" xfId="112" applyNumberFormat="1" applyFont="1" applyBorder="1" applyAlignment="1" applyProtection="1">
      <alignment vertical="center"/>
      <protection/>
    </xf>
    <xf numFmtId="1" fontId="0" fillId="0" borderId="67" xfId="112" applyNumberFormat="1" applyFont="1" applyBorder="1" applyAlignment="1" applyProtection="1">
      <alignment horizontal="center" vertical="center"/>
      <protection/>
    </xf>
    <xf numFmtId="182" fontId="24" fillId="0" borderId="68" xfId="112" applyNumberFormat="1" applyFont="1" applyBorder="1" applyAlignment="1" applyProtection="1">
      <alignment vertical="center"/>
      <protection/>
    </xf>
    <xf numFmtId="182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56" xfId="112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182" fontId="50" fillId="4" borderId="0" xfId="112" applyFont="1" applyFill="1" applyAlignment="1" applyProtection="1">
      <alignment vertical="center"/>
      <protection/>
    </xf>
    <xf numFmtId="182" fontId="50" fillId="0" borderId="0" xfId="112" applyFont="1" applyBorder="1" applyAlignment="1" applyProtection="1">
      <alignment horizontal="right" vertical="center"/>
      <protection/>
    </xf>
    <xf numFmtId="182" fontId="50" fillId="0" borderId="0" xfId="112" applyFont="1" applyAlignment="1" applyProtection="1">
      <alignment vertical="center"/>
      <protection/>
    </xf>
    <xf numFmtId="1" fontId="49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1" fontId="0" fillId="0" borderId="44" xfId="112" applyNumberFormat="1" applyFont="1" applyBorder="1" applyAlignment="1" applyProtection="1">
      <alignment horizontal="centerContinuous"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2" fontId="49" fillId="0" borderId="69" xfId="112" applyFont="1" applyBorder="1" applyAlignment="1" applyProtection="1">
      <alignment vertical="center"/>
      <protection/>
    </xf>
    <xf numFmtId="180" fontId="24" fillId="0" borderId="39" xfId="112" applyNumberFormat="1" applyFont="1" applyBorder="1" applyAlignment="1" applyProtection="1">
      <alignment horizontal="centerContinuous" vertical="center"/>
      <protection/>
    </xf>
    <xf numFmtId="180" fontId="24" fillId="0" borderId="48" xfId="112" applyNumberFormat="1" applyFont="1" applyBorder="1" applyAlignment="1" applyProtection="1">
      <alignment horizontal="centerContinuous" vertical="center"/>
      <protection/>
    </xf>
    <xf numFmtId="182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2" fontId="31" fillId="0" borderId="45" xfId="112" applyFont="1" applyBorder="1" applyAlignment="1" applyProtection="1">
      <alignment vertical="center"/>
      <protection/>
    </xf>
    <xf numFmtId="181" fontId="0" fillId="0" borderId="38" xfId="112" applyNumberFormat="1" applyFont="1" applyBorder="1" applyAlignment="1" applyProtection="1">
      <alignment horizontal="centerContinuous" vertical="center"/>
      <protection/>
    </xf>
    <xf numFmtId="181" fontId="0" fillId="0" borderId="24" xfId="112" applyNumberFormat="1" applyFont="1" applyBorder="1" applyAlignment="1" applyProtection="1">
      <alignment horizontal="centerContinuous" vertical="center"/>
      <protection/>
    </xf>
    <xf numFmtId="181" fontId="0" fillId="0" borderId="20" xfId="112" applyNumberFormat="1" applyFont="1" applyBorder="1" applyAlignment="1" applyProtection="1">
      <alignment horizontal="centerContinuous" vertical="center"/>
      <protection/>
    </xf>
    <xf numFmtId="182" fontId="0" fillId="0" borderId="39" xfId="112" applyFont="1" applyBorder="1" applyAlignment="1" applyProtection="1">
      <alignment vertical="center"/>
      <protection/>
    </xf>
    <xf numFmtId="182" fontId="0" fillId="0" borderId="33" xfId="112" applyFont="1" applyBorder="1" applyAlignment="1" applyProtection="1">
      <alignment vertical="center"/>
      <protection/>
    </xf>
    <xf numFmtId="182" fontId="31" fillId="0" borderId="26" xfId="112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78" fontId="1" fillId="0" borderId="34" xfId="112" applyNumberFormat="1" applyFont="1" applyBorder="1" applyAlignment="1" applyProtection="1">
      <alignment horizontal="right" vertical="center"/>
      <protection/>
    </xf>
    <xf numFmtId="0" fontId="32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182" fontId="0" fillId="0" borderId="29" xfId="112" applyFont="1" applyBorder="1" applyAlignment="1" applyProtection="1">
      <alignment horizontal="center" vertical="center"/>
      <protection/>
    </xf>
    <xf numFmtId="182" fontId="0" fillId="0" borderId="16" xfId="112" applyFont="1" applyBorder="1" applyAlignment="1" applyProtection="1">
      <alignment horizontal="center" vertical="center"/>
      <protection/>
    </xf>
    <xf numFmtId="182" fontId="0" fillId="0" borderId="31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0" fontId="0" fillId="5" borderId="59" xfId="112" applyNumberFormat="1" applyFont="1" applyFill="1" applyBorder="1" applyAlignment="1" applyProtection="1">
      <alignment vertical="center"/>
      <protection locked="0"/>
    </xf>
    <xf numFmtId="182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2" fontId="45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78" fontId="58" fillId="0" borderId="0" xfId="112" applyNumberFormat="1" applyFont="1" applyAlignment="1" applyProtection="1">
      <alignment horizontal="left" vertical="center"/>
      <protection/>
    </xf>
    <xf numFmtId="182" fontId="59" fillId="0" borderId="0" xfId="112" applyFont="1" applyBorder="1" applyAlignment="1" applyProtection="1">
      <alignment vertical="center"/>
      <protection/>
    </xf>
    <xf numFmtId="182" fontId="60" fillId="0" borderId="0" xfId="112" applyFont="1" applyAlignment="1" applyProtection="1">
      <alignment vertical="center"/>
      <protection/>
    </xf>
    <xf numFmtId="182" fontId="59" fillId="0" borderId="0" xfId="112" applyFont="1" applyAlignment="1" applyProtection="1">
      <alignment vertical="center"/>
      <protection/>
    </xf>
    <xf numFmtId="182" fontId="59" fillId="0" borderId="0" xfId="112" applyFont="1" applyAlignment="1" applyProtection="1">
      <alignment horizontal="right" vertical="center"/>
      <protection/>
    </xf>
    <xf numFmtId="199" fontId="60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0" fontId="0" fillId="0" borderId="33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2" fontId="0" fillId="4" borderId="0" xfId="112" applyFont="1" applyFill="1" applyAlignment="1" applyProtection="1">
      <alignment vertical="center"/>
      <protection/>
    </xf>
    <xf numFmtId="182" fontId="44" fillId="4" borderId="0" xfId="112" applyFont="1" applyFill="1" applyAlignment="1" applyProtection="1">
      <alignment vertical="center"/>
      <protection/>
    </xf>
    <xf numFmtId="178" fontId="22" fillId="4" borderId="0" xfId="112" applyNumberFormat="1" applyFont="1" applyFill="1" applyBorder="1" applyAlignment="1" applyProtection="1">
      <alignment vertical="center"/>
      <protection/>
    </xf>
    <xf numFmtId="178" fontId="22" fillId="4" borderId="18" xfId="112" applyNumberFormat="1" applyFont="1" applyFill="1" applyBorder="1" applyAlignment="1" applyProtection="1">
      <alignment vertical="center"/>
      <protection/>
    </xf>
    <xf numFmtId="182" fontId="0" fillId="4" borderId="18" xfId="112" applyFont="1" applyFill="1" applyBorder="1" applyAlignment="1" applyProtection="1">
      <alignment vertical="center"/>
      <protection/>
    </xf>
    <xf numFmtId="182" fontId="22" fillId="4" borderId="18" xfId="112" applyFont="1" applyFill="1" applyBorder="1" applyAlignment="1" applyProtection="1">
      <alignment vertical="center"/>
      <protection/>
    </xf>
    <xf numFmtId="182" fontId="27" fillId="4" borderId="18" xfId="112" applyFont="1" applyFill="1" applyBorder="1" applyAlignment="1" applyProtection="1">
      <alignment vertical="center"/>
      <protection/>
    </xf>
    <xf numFmtId="182" fontId="22" fillId="4" borderId="0" xfId="112" applyFont="1" applyFill="1" applyBorder="1" applyAlignment="1" applyProtection="1">
      <alignment vertical="center"/>
      <protection/>
    </xf>
    <xf numFmtId="182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2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78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2" fontId="0" fillId="4" borderId="0" xfId="112" applyFont="1" applyFill="1" applyAlignment="1" applyProtection="1">
      <alignment horizontal="center" vertical="center"/>
      <protection/>
    </xf>
    <xf numFmtId="178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1" fontId="24" fillId="4" borderId="70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182" fontId="31" fillId="4" borderId="0" xfId="112" applyFont="1" applyFill="1" applyAlignment="1" applyProtection="1">
      <alignment vertical="center"/>
      <protection/>
    </xf>
    <xf numFmtId="189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82" fontId="32" fillId="0" borderId="0" xfId="112" applyFont="1" applyFill="1" applyAlignment="1" applyProtection="1">
      <alignment vertical="center"/>
      <protection/>
    </xf>
    <xf numFmtId="180" fontId="24" fillId="0" borderId="0" xfId="112" applyNumberFormat="1" applyFont="1" applyBorder="1" applyAlignment="1" applyProtection="1">
      <alignment horizontal="centerContinuous" vertical="center"/>
      <protection/>
    </xf>
    <xf numFmtId="178" fontId="24" fillId="0" borderId="36" xfId="112" applyNumberFormat="1" applyFont="1" applyBorder="1" applyAlignment="1" applyProtection="1">
      <alignment horizontal="centerContinuous" vertical="center"/>
      <protection/>
    </xf>
    <xf numFmtId="182" fontId="28" fillId="0" borderId="36" xfId="112" applyFont="1" applyBorder="1" applyAlignment="1" applyProtection="1">
      <alignment horizontal="centerContinuous" vertical="center"/>
      <protection/>
    </xf>
    <xf numFmtId="178" fontId="33" fillId="0" borderId="19" xfId="112" applyNumberFormat="1" applyFont="1" applyBorder="1" applyAlignment="1" applyProtection="1">
      <alignment horizontal="centerContinuous" vertical="center"/>
      <protection/>
    </xf>
    <xf numFmtId="182" fontId="40" fillId="0" borderId="19" xfId="112" applyFont="1" applyBorder="1" applyAlignment="1" applyProtection="1">
      <alignment horizontal="centerContinuous" vertical="center"/>
      <protection/>
    </xf>
    <xf numFmtId="178" fontId="24" fillId="0" borderId="19" xfId="112" applyNumberFormat="1" applyFont="1" applyBorder="1" applyAlignment="1" applyProtection="1">
      <alignment horizontal="centerContinuous" vertical="center"/>
      <protection/>
    </xf>
    <xf numFmtId="198" fontId="0" fillId="0" borderId="0" xfId="112" applyNumberFormat="1" applyFont="1" applyBorder="1" applyAlignment="1" applyProtection="1">
      <alignment horizontal="right" vertical="center"/>
      <protection/>
    </xf>
    <xf numFmtId="178" fontId="24" fillId="0" borderId="24" xfId="112" applyNumberFormat="1" applyFont="1" applyBorder="1" applyAlignment="1" applyProtection="1">
      <alignment horizontal="centerContinuous" vertical="center"/>
      <protection/>
    </xf>
    <xf numFmtId="198" fontId="0" fillId="5" borderId="29" xfId="112" applyNumberFormat="1" applyFont="1" applyFill="1" applyBorder="1" applyAlignment="1" applyProtection="1">
      <alignment/>
      <protection locked="0"/>
    </xf>
    <xf numFmtId="182" fontId="46" fillId="0" borderId="0" xfId="112" applyNumberFormat="1" applyFont="1" applyFill="1" applyBorder="1" applyAlignment="1" applyProtection="1">
      <alignment vertical="center"/>
      <protection/>
    </xf>
    <xf numFmtId="180" fontId="24" fillId="0" borderId="0" xfId="112" applyNumberFormat="1" applyFont="1" applyFill="1" applyBorder="1" applyAlignment="1" applyProtection="1">
      <alignment horizontal="centerContinuous" vertical="center"/>
      <protection/>
    </xf>
    <xf numFmtId="180" fontId="0" fillId="5" borderId="46" xfId="112" applyNumberFormat="1" applyFont="1" applyFill="1" applyBorder="1" applyAlignment="1" applyProtection="1">
      <alignment vertical="center"/>
      <protection locked="0"/>
    </xf>
    <xf numFmtId="180" fontId="0" fillId="5" borderId="42" xfId="112" applyNumberFormat="1" applyFont="1" applyFill="1" applyBorder="1" applyAlignment="1" applyProtection="1">
      <alignment vertical="center"/>
      <protection locked="0"/>
    </xf>
    <xf numFmtId="180" fontId="0" fillId="5" borderId="60" xfId="112" applyNumberFormat="1" applyFont="1" applyFill="1" applyBorder="1" applyAlignment="1" applyProtection="1">
      <alignment vertical="center"/>
      <protection locked="0"/>
    </xf>
    <xf numFmtId="180" fontId="0" fillId="5" borderId="35" xfId="112" applyNumberFormat="1" applyFont="1" applyFill="1" applyBorder="1" applyAlignment="1" applyProtection="1">
      <alignment vertical="center"/>
      <protection locked="0"/>
    </xf>
    <xf numFmtId="180" fontId="0" fillId="5" borderId="30" xfId="112" applyNumberFormat="1" applyFont="1" applyFill="1" applyBorder="1" applyAlignment="1" applyProtection="1">
      <alignment vertical="center"/>
      <protection locked="0"/>
    </xf>
    <xf numFmtId="182" fontId="59" fillId="0" borderId="0" xfId="112" applyFont="1" applyAlignment="1" applyProtection="1">
      <alignment horizontal="left" vertical="center"/>
      <protection/>
    </xf>
    <xf numFmtId="182" fontId="60" fillId="0" borderId="0" xfId="112" applyFont="1" applyAlignment="1" applyProtection="1">
      <alignment horizontal="right" vertical="center"/>
      <protection/>
    </xf>
    <xf numFmtId="182" fontId="60" fillId="0" borderId="0" xfId="112" applyFont="1" applyAlignment="1" applyProtection="1">
      <alignment horizontal="left" vertical="center"/>
      <protection/>
    </xf>
    <xf numFmtId="182" fontId="60" fillId="0" borderId="0" xfId="112" applyFont="1" applyAlignment="1" applyProtection="1">
      <alignment horizontal="centerContinuous" vertical="center"/>
      <protection/>
    </xf>
    <xf numFmtId="182" fontId="60" fillId="0" borderId="0" xfId="112" applyFont="1" applyAlignment="1" applyProtection="1">
      <alignment horizontal="center" vertical="center"/>
      <protection/>
    </xf>
    <xf numFmtId="180" fontId="0" fillId="0" borderId="23" xfId="112" applyNumberFormat="1" applyFont="1" applyFill="1" applyBorder="1" applyAlignment="1" applyProtection="1">
      <alignment vertical="center"/>
      <protection/>
    </xf>
    <xf numFmtId="180" fontId="0" fillId="0" borderId="25" xfId="112" applyNumberFormat="1" applyFont="1" applyFill="1" applyBorder="1" applyAlignment="1" applyProtection="1">
      <alignment vertical="center"/>
      <protection/>
    </xf>
    <xf numFmtId="180" fontId="24" fillId="0" borderId="33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1" fillId="0" borderId="0" xfId="0" applyFont="1" applyAlignment="1">
      <alignment/>
    </xf>
    <xf numFmtId="178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78" fontId="24" fillId="0" borderId="24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vertical="center"/>
      <protection/>
    </xf>
    <xf numFmtId="182" fontId="24" fillId="0" borderId="19" xfId="112" applyFont="1" applyFill="1" applyBorder="1" applyAlignment="1" applyProtection="1">
      <alignment vertical="center"/>
      <protection/>
    </xf>
    <xf numFmtId="0" fontId="24" fillId="0" borderId="19" xfId="112" applyNumberFormat="1" applyFont="1" applyFill="1" applyBorder="1" applyAlignment="1" applyProtection="1">
      <alignment horizontal="center" vertical="center"/>
      <protection/>
    </xf>
    <xf numFmtId="1" fontId="24" fillId="0" borderId="19" xfId="112" applyNumberFormat="1" applyFont="1" applyFill="1" applyBorder="1" applyAlignment="1" applyProtection="1">
      <alignment horizontal="center"/>
      <protection/>
    </xf>
    <xf numFmtId="182" fontId="24" fillId="0" borderId="19" xfId="112" applyNumberFormat="1" applyFont="1" applyFill="1" applyBorder="1" applyAlignment="1" applyProtection="1">
      <alignment horizontal="center" vertical="center"/>
      <protection/>
    </xf>
    <xf numFmtId="181" fontId="24" fillId="0" borderId="19" xfId="112" applyNumberFormat="1" applyFont="1" applyFill="1" applyBorder="1" applyAlignment="1" applyProtection="1">
      <alignment vertical="center"/>
      <protection/>
    </xf>
    <xf numFmtId="186" fontId="24" fillId="0" borderId="19" xfId="112" applyNumberFormat="1" applyFont="1" applyFill="1" applyBorder="1" applyAlignment="1" applyProtection="1">
      <alignment vertical="center"/>
      <protection/>
    </xf>
    <xf numFmtId="182" fontId="24" fillId="0" borderId="19" xfId="112" applyNumberFormat="1" applyFont="1" applyFill="1" applyBorder="1" applyAlignment="1" applyProtection="1">
      <alignment vertical="center"/>
      <protection/>
    </xf>
    <xf numFmtId="178" fontId="24" fillId="0" borderId="24" xfId="112" applyNumberFormat="1" applyFont="1" applyBorder="1" applyAlignment="1" applyProtection="1">
      <alignment horizontal="center" vertical="center"/>
      <protection/>
    </xf>
    <xf numFmtId="178" fontId="0" fillId="5" borderId="31" xfId="112" applyNumberFormat="1" applyFont="1" applyFill="1" applyBorder="1" applyAlignment="1" applyProtection="1">
      <alignment/>
      <protection locked="0"/>
    </xf>
    <xf numFmtId="180" fontId="0" fillId="0" borderId="0" xfId="112" applyNumberFormat="1" applyFont="1" applyFill="1" applyBorder="1" applyAlignment="1" applyProtection="1">
      <alignment vertical="center"/>
      <protection/>
    </xf>
    <xf numFmtId="182" fontId="24" fillId="0" borderId="21" xfId="112" applyFont="1" applyBorder="1" applyAlignment="1" applyProtection="1">
      <alignment horizontal="center" vertical="center"/>
      <protection/>
    </xf>
    <xf numFmtId="182" fontId="24" fillId="0" borderId="23" xfId="112" applyFont="1" applyBorder="1" applyAlignment="1" applyProtection="1">
      <alignment horizontal="center" vertical="center"/>
      <protection/>
    </xf>
    <xf numFmtId="179" fontId="0" fillId="0" borderId="71" xfId="112" applyNumberFormat="1" applyFont="1" applyBorder="1" applyAlignment="1" applyProtection="1">
      <alignment vertical="center"/>
      <protection/>
    </xf>
    <xf numFmtId="179" fontId="0" fillId="0" borderId="72" xfId="112" applyNumberFormat="1" applyFont="1" applyBorder="1" applyAlignment="1" applyProtection="1">
      <alignment vertical="center"/>
      <protection/>
    </xf>
    <xf numFmtId="182" fontId="0" fillId="11" borderId="22" xfId="112" applyFont="1" applyFill="1" applyBorder="1" applyAlignment="1" applyProtection="1">
      <alignment vertical="center"/>
      <protection/>
    </xf>
    <xf numFmtId="182" fontId="0" fillId="11" borderId="37" xfId="112" applyFont="1" applyFill="1" applyBorder="1" applyAlignment="1" applyProtection="1">
      <alignment vertical="center"/>
      <protection/>
    </xf>
    <xf numFmtId="182" fontId="0" fillId="11" borderId="24" xfId="112" applyFont="1" applyFill="1" applyBorder="1" applyAlignment="1" applyProtection="1">
      <alignment vertical="center"/>
      <protection/>
    </xf>
    <xf numFmtId="182" fontId="0" fillId="11" borderId="20" xfId="112" applyFont="1" applyFill="1" applyBorder="1" applyAlignment="1" applyProtection="1">
      <alignment vertical="center"/>
      <protection/>
    </xf>
    <xf numFmtId="182" fontId="0" fillId="11" borderId="26" xfId="112" applyFont="1" applyFill="1" applyBorder="1" applyAlignment="1" applyProtection="1">
      <alignment vertical="center"/>
      <protection/>
    </xf>
    <xf numFmtId="182" fontId="24" fillId="0" borderId="22" xfId="112" applyFont="1" applyBorder="1" applyAlignment="1" applyProtection="1">
      <alignment horizontal="centerContinuous" vertical="center"/>
      <protection/>
    </xf>
    <xf numFmtId="184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84" fontId="0" fillId="5" borderId="35" xfId="112" applyNumberFormat="1" applyFont="1" applyFill="1" applyBorder="1" applyAlignment="1" applyProtection="1">
      <alignment horizontal="centerContinuous" vertical="center"/>
      <protection/>
    </xf>
    <xf numFmtId="184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84" fontId="0" fillId="5" borderId="14" xfId="112" applyNumberFormat="1" applyFont="1" applyFill="1" applyBorder="1" applyAlignment="1" applyProtection="1">
      <alignment horizontal="centerContinuous" vertical="center"/>
      <protection/>
    </xf>
    <xf numFmtId="182" fontId="24" fillId="0" borderId="26" xfId="112" applyFont="1" applyBorder="1" applyAlignment="1" applyProtection="1">
      <alignment horizontal="centerContinuous" vertical="center"/>
      <protection/>
    </xf>
    <xf numFmtId="182" fontId="0" fillId="0" borderId="26" xfId="112" applyFont="1" applyBorder="1" applyAlignment="1" applyProtection="1">
      <alignment horizontal="centerContinuous" vertical="center"/>
      <protection/>
    </xf>
    <xf numFmtId="198" fontId="0" fillId="5" borderId="42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14" xfId="112" applyNumberFormat="1" applyFont="1" applyFill="1" applyBorder="1" applyAlignment="1" applyProtection="1">
      <alignment horizontal="centerContinuous" vertical="center"/>
      <protection/>
    </xf>
    <xf numFmtId="198" fontId="0" fillId="5" borderId="60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30" xfId="112" applyNumberFormat="1" applyFont="1" applyFill="1" applyBorder="1" applyAlignment="1" applyProtection="1">
      <alignment horizontal="centerContinuous" vertical="center"/>
      <protection/>
    </xf>
    <xf numFmtId="179" fontId="0" fillId="0" borderId="22" xfId="112" applyNumberFormat="1" applyFont="1" applyBorder="1" applyAlignment="1" applyProtection="1">
      <alignment horizontal="centerContinuous" vertical="center"/>
      <protection/>
    </xf>
    <xf numFmtId="179" fontId="0" fillId="0" borderId="37" xfId="112" applyNumberFormat="1" applyFont="1" applyBorder="1" applyAlignment="1" applyProtection="1">
      <alignment horizontal="centerContinuous" vertical="center"/>
      <protection/>
    </xf>
    <xf numFmtId="179" fontId="29" fillId="0" borderId="0" xfId="112" applyNumberFormat="1" applyFont="1" applyBorder="1" applyAlignment="1" applyProtection="1">
      <alignment vertical="center"/>
      <protection/>
    </xf>
    <xf numFmtId="179" fontId="0" fillId="0" borderId="24" xfId="112" applyNumberFormat="1" applyFont="1" applyBorder="1" applyAlignment="1" applyProtection="1">
      <alignment horizontal="centerContinuous" vertical="center"/>
      <protection/>
    </xf>
    <xf numFmtId="179" fontId="0" fillId="0" borderId="20" xfId="112" applyNumberFormat="1" applyFont="1" applyBorder="1" applyAlignment="1" applyProtection="1">
      <alignment horizontal="centerContinuous" vertical="center"/>
      <protection/>
    </xf>
    <xf numFmtId="182" fontId="0" fillId="0" borderId="24" xfId="112" applyFont="1" applyBorder="1" applyAlignment="1" applyProtection="1">
      <alignment horizontal="centerContinuous" vertical="center"/>
      <protection/>
    </xf>
    <xf numFmtId="182" fontId="0" fillId="0" borderId="20" xfId="112" applyFont="1" applyBorder="1" applyAlignment="1" applyProtection="1">
      <alignment horizontal="centerContinuous" vertical="center"/>
      <protection/>
    </xf>
    <xf numFmtId="213" fontId="0" fillId="0" borderId="15" xfId="112" applyNumberFormat="1" applyFont="1" applyBorder="1" applyAlignment="1" applyProtection="1">
      <alignment vertical="center"/>
      <protection/>
    </xf>
    <xf numFmtId="213" fontId="0" fillId="0" borderId="15" xfId="112" applyNumberFormat="1" applyFont="1" applyFill="1" applyBorder="1" applyAlignment="1" applyProtection="1">
      <alignment vertical="center"/>
      <protection/>
    </xf>
    <xf numFmtId="213" fontId="0" fillId="0" borderId="31" xfId="112" applyNumberFormat="1" applyFont="1" applyBorder="1" applyAlignment="1" applyProtection="1">
      <alignment vertical="center"/>
      <protection/>
    </xf>
    <xf numFmtId="213" fontId="0" fillId="0" borderId="31" xfId="112" applyNumberFormat="1" applyFont="1" applyFill="1" applyBorder="1" applyAlignment="1" applyProtection="1">
      <alignment vertical="center"/>
      <protection/>
    </xf>
    <xf numFmtId="214" fontId="0" fillId="0" borderId="15" xfId="112" applyNumberFormat="1" applyFont="1" applyBorder="1" applyAlignment="1" applyProtection="1">
      <alignment vertical="center"/>
      <protection/>
    </xf>
    <xf numFmtId="214" fontId="0" fillId="0" borderId="31" xfId="112" applyNumberFormat="1" applyFont="1" applyBorder="1" applyAlignment="1" applyProtection="1">
      <alignment vertical="center"/>
      <protection/>
    </xf>
    <xf numFmtId="215" fontId="0" fillId="0" borderId="15" xfId="112" applyNumberFormat="1" applyFont="1" applyBorder="1" applyAlignment="1" applyProtection="1">
      <alignment vertical="center"/>
      <protection/>
    </xf>
    <xf numFmtId="217" fontId="24" fillId="0" borderId="25" xfId="112" applyNumberFormat="1" applyFont="1" applyBorder="1" applyAlignment="1" applyProtection="1">
      <alignment horizontal="center" vertical="center"/>
      <protection/>
    </xf>
    <xf numFmtId="218" fontId="0" fillId="0" borderId="15" xfId="112" applyNumberFormat="1" applyFont="1" applyBorder="1" applyAlignment="1" applyProtection="1">
      <alignment vertical="center"/>
      <protection/>
    </xf>
    <xf numFmtId="218" fontId="0" fillId="0" borderId="31" xfId="112" applyNumberFormat="1" applyFont="1" applyBorder="1" applyAlignment="1" applyProtection="1">
      <alignment vertical="center"/>
      <protection/>
    </xf>
    <xf numFmtId="215" fontId="0" fillId="0" borderId="27" xfId="112" applyNumberFormat="1" applyFont="1" applyBorder="1" applyAlignment="1" applyProtection="1">
      <alignment vertical="center"/>
      <protection/>
    </xf>
    <xf numFmtId="215" fontId="0" fillId="0" borderId="16" xfId="112" applyNumberFormat="1" applyFont="1" applyBorder="1" applyAlignment="1" applyProtection="1">
      <alignment vertical="center"/>
      <protection/>
    </xf>
    <xf numFmtId="215" fontId="0" fillId="0" borderId="31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horizontal="right" vertical="center"/>
      <protection/>
    </xf>
    <xf numFmtId="215" fontId="0" fillId="0" borderId="14" xfId="112" applyNumberFormat="1" applyFont="1" applyBorder="1" applyAlignment="1" applyProtection="1">
      <alignment vertical="center"/>
      <protection/>
    </xf>
    <xf numFmtId="215" fontId="0" fillId="0" borderId="35" xfId="112" applyNumberFormat="1" applyFont="1" applyBorder="1" applyAlignment="1" applyProtection="1">
      <alignment vertical="center"/>
      <protection/>
    </xf>
    <xf numFmtId="215" fontId="0" fillId="0" borderId="30" xfId="112" applyNumberFormat="1" applyFont="1" applyBorder="1" applyAlignment="1" applyProtection="1">
      <alignment vertical="center"/>
      <protection/>
    </xf>
    <xf numFmtId="219" fontId="0" fillId="0" borderId="17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vertical="center"/>
      <protection/>
    </xf>
    <xf numFmtId="215" fontId="0" fillId="0" borderId="21" xfId="112" applyNumberFormat="1" applyFont="1" applyBorder="1" applyAlignment="1" applyProtection="1">
      <alignment vertical="center"/>
      <protection/>
    </xf>
    <xf numFmtId="215" fontId="0" fillId="0" borderId="23" xfId="112" applyNumberFormat="1" applyFont="1" applyBorder="1" applyAlignment="1" applyProtection="1">
      <alignment vertical="center"/>
      <protection/>
    </xf>
    <xf numFmtId="215" fontId="0" fillId="0" borderId="29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horizontal="center" vertical="center"/>
      <protection/>
    </xf>
    <xf numFmtId="215" fontId="0" fillId="0" borderId="25" xfId="112" applyNumberFormat="1" applyFont="1" applyBorder="1" applyAlignment="1" applyProtection="1">
      <alignment vertical="center"/>
      <protection/>
    </xf>
    <xf numFmtId="215" fontId="0" fillId="0" borderId="20" xfId="112" applyNumberFormat="1" applyFont="1" applyBorder="1" applyAlignment="1" applyProtection="1">
      <alignment vertical="center"/>
      <protection/>
    </xf>
    <xf numFmtId="215" fontId="0" fillId="0" borderId="73" xfId="112" applyNumberFormat="1" applyFont="1" applyBorder="1" applyAlignment="1" applyProtection="1">
      <alignment vertical="center"/>
      <protection/>
    </xf>
    <xf numFmtId="1" fontId="43" fillId="0" borderId="0" xfId="112" applyNumberFormat="1" applyFont="1" applyFill="1" applyBorder="1" applyAlignment="1" applyProtection="1">
      <alignment horizontal="left" vertical="center"/>
      <protection/>
    </xf>
    <xf numFmtId="182" fontId="43" fillId="0" borderId="0" xfId="112" applyFont="1" applyAlignment="1" applyProtection="1">
      <alignment vertical="center"/>
      <protection/>
    </xf>
    <xf numFmtId="182" fontId="46" fillId="11" borderId="23" xfId="112" applyFont="1" applyFill="1" applyBorder="1" applyAlignment="1" applyProtection="1">
      <alignment vertical="center"/>
      <protection/>
    </xf>
    <xf numFmtId="182" fontId="46" fillId="11" borderId="25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1" fontId="48" fillId="0" borderId="0" xfId="112" applyNumberFormat="1" applyFont="1" applyAlignment="1" applyProtection="1">
      <alignment vertical="center"/>
      <protection/>
    </xf>
    <xf numFmtId="178" fontId="0" fillId="0" borderId="59" xfId="112" applyNumberFormat="1" applyFont="1" applyBorder="1" applyAlignment="1" applyProtection="1">
      <alignment horizontal="left" vertical="center"/>
      <protection/>
    </xf>
    <xf numFmtId="184" fontId="0" fillId="5" borderId="40" xfId="112" applyNumberFormat="1" applyFont="1" applyFill="1" applyBorder="1" applyAlignment="1" applyProtection="1">
      <alignment horizontal="centerContinuous" vertical="center"/>
      <protection locked="0"/>
    </xf>
    <xf numFmtId="184" fontId="0" fillId="5" borderId="59" xfId="112" applyNumberFormat="1" applyFont="1" applyFill="1" applyBorder="1" applyAlignment="1" applyProtection="1">
      <alignment horizontal="centerContinuous" vertical="center"/>
      <protection/>
    </xf>
    <xf numFmtId="1" fontId="67" fillId="0" borderId="0" xfId="112" applyNumberFormat="1" applyFont="1" applyAlignment="1" applyProtection="1">
      <alignment vertical="center"/>
      <protection/>
    </xf>
    <xf numFmtId="182" fontId="48" fillId="0" borderId="0" xfId="112" applyFont="1" applyBorder="1" applyAlignment="1" applyProtection="1">
      <alignment vertical="center"/>
      <protection/>
    </xf>
    <xf numFmtId="2" fontId="48" fillId="0" borderId="0" xfId="112" applyNumberFormat="1" applyFont="1" applyBorder="1" applyAlignment="1" applyProtection="1">
      <alignment vertical="center"/>
      <protection/>
    </xf>
    <xf numFmtId="182" fontId="48" fillId="0" borderId="0" xfId="112" applyFont="1" applyAlignment="1" applyProtection="1">
      <alignment vertical="center"/>
      <protection/>
    </xf>
    <xf numFmtId="2" fontId="48" fillId="0" borderId="0" xfId="112" applyNumberFormat="1" applyFont="1" applyAlignment="1" applyProtection="1">
      <alignment vertical="center"/>
      <protection/>
    </xf>
    <xf numFmtId="181" fontId="0" fillId="4" borderId="23" xfId="0" applyNumberFormat="1" applyFont="1" applyFill="1" applyBorder="1" applyAlignment="1">
      <alignment horizontal="center" vertical="center"/>
    </xf>
    <xf numFmtId="198" fontId="0" fillId="5" borderId="46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35" xfId="112" applyNumberFormat="1" applyFont="1" applyFill="1" applyBorder="1" applyAlignment="1" applyProtection="1">
      <alignment horizontal="centerContinuous" vertical="center"/>
      <protection/>
    </xf>
    <xf numFmtId="184" fontId="0" fillId="4" borderId="14" xfId="112" applyNumberFormat="1" applyFont="1" applyFill="1" applyBorder="1" applyAlignment="1" applyProtection="1">
      <alignment vertical="center"/>
      <protection/>
    </xf>
    <xf numFmtId="179" fontId="0" fillId="4" borderId="29" xfId="112" applyNumberFormat="1" applyFont="1" applyFill="1" applyBorder="1" applyAlignment="1" applyProtection="1">
      <alignment vertical="center"/>
      <protection/>
    </xf>
    <xf numFmtId="179" fontId="0" fillId="4" borderId="16" xfId="112" applyNumberFormat="1" applyFont="1" applyFill="1" applyBorder="1" applyAlignment="1" applyProtection="1">
      <alignment vertical="center"/>
      <protection/>
    </xf>
    <xf numFmtId="2" fontId="0" fillId="4" borderId="27" xfId="112" applyNumberFormat="1" applyFont="1" applyFill="1" applyBorder="1" applyAlignment="1">
      <alignment horizontal="center"/>
      <protection/>
    </xf>
    <xf numFmtId="2" fontId="0" fillId="4" borderId="23" xfId="112" applyNumberFormat="1" applyFont="1" applyFill="1" applyBorder="1" applyAlignment="1">
      <alignment horizontal="center"/>
      <protection/>
    </xf>
    <xf numFmtId="182" fontId="0" fillId="2" borderId="21" xfId="112" applyNumberFormat="1" applyFont="1" applyFill="1" applyBorder="1" applyAlignment="1">
      <alignment horizontal="center" vertical="center"/>
      <protection/>
    </xf>
    <xf numFmtId="182" fontId="0" fillId="2" borderId="23" xfId="0" applyNumberFormat="1" applyFont="1" applyFill="1" applyBorder="1" applyAlignment="1">
      <alignment horizontal="center" vertical="center"/>
    </xf>
    <xf numFmtId="179" fontId="0" fillId="0" borderId="27" xfId="112" applyNumberFormat="1" applyFont="1" applyFill="1" applyBorder="1" applyAlignment="1" applyProtection="1">
      <alignment horizontal="center" vertical="center"/>
      <protection/>
    </xf>
    <xf numFmtId="198" fontId="0" fillId="5" borderId="44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28" xfId="112" applyNumberFormat="1" applyFont="1" applyFill="1" applyBorder="1" applyAlignment="1" applyProtection="1">
      <alignment horizontal="centerContinuous" vertical="center"/>
      <protection/>
    </xf>
    <xf numFmtId="215" fontId="0" fillId="0" borderId="0" xfId="112" applyNumberFormat="1" applyFont="1" applyBorder="1" applyAlignment="1" applyProtection="1">
      <alignment vertical="center"/>
      <protection/>
    </xf>
    <xf numFmtId="179" fontId="68" fillId="0" borderId="26" xfId="112" applyNumberFormat="1" applyFont="1" applyBorder="1" applyAlignment="1" applyProtection="1" quotePrefix="1">
      <alignment horizontal="centerContinuous" vertical="center"/>
      <protection/>
    </xf>
    <xf numFmtId="178" fontId="68" fillId="0" borderId="26" xfId="112" applyNumberFormat="1" applyFont="1" applyBorder="1" applyAlignment="1" applyProtection="1" quotePrefix="1">
      <alignment horizontal="centerContinuous" vertical="center"/>
      <protection/>
    </xf>
    <xf numFmtId="182" fontId="68" fillId="0" borderId="38" xfId="112" applyFont="1" applyBorder="1" applyAlignment="1" applyProtection="1">
      <alignment horizontal="centerContinuous" vertical="center"/>
      <protection/>
    </xf>
    <xf numFmtId="182" fontId="69" fillId="0" borderId="38" xfId="112" applyFont="1" applyBorder="1" applyAlignment="1" applyProtection="1">
      <alignment horizontal="centerContinuous" vertical="center"/>
      <protection/>
    </xf>
    <xf numFmtId="178" fontId="68" fillId="0" borderId="39" xfId="112" applyNumberFormat="1" applyFont="1" applyBorder="1" applyAlignment="1" applyProtection="1" quotePrefix="1">
      <alignment horizontal="centerContinuous" vertical="center"/>
      <protection/>
    </xf>
    <xf numFmtId="182" fontId="69" fillId="0" borderId="48" xfId="112" applyFont="1" applyBorder="1" applyAlignment="1" applyProtection="1">
      <alignment horizontal="centerContinuous" vertical="center"/>
      <protection/>
    </xf>
    <xf numFmtId="182" fontId="49" fillId="25" borderId="0" xfId="112" applyFont="1" applyFill="1" applyAlignment="1" applyProtection="1">
      <alignment vertical="center"/>
      <protection/>
    </xf>
    <xf numFmtId="182" fontId="49" fillId="25" borderId="0" xfId="112" applyFont="1" applyFill="1" applyBorder="1" applyAlignment="1" applyProtection="1">
      <alignment vertical="center"/>
      <protection/>
    </xf>
    <xf numFmtId="182" fontId="49" fillId="25" borderId="0" xfId="112" applyFont="1" applyFill="1" applyAlignment="1" applyProtection="1">
      <alignment horizontal="left" vertical="center"/>
      <protection/>
    </xf>
    <xf numFmtId="1" fontId="49" fillId="0" borderId="0" xfId="112" applyNumberFormat="1" applyFont="1" applyBorder="1" applyAlignment="1" applyProtection="1">
      <alignment vertical="center"/>
      <protection/>
    </xf>
    <xf numFmtId="0" fontId="49" fillId="25" borderId="4" xfId="0" applyFont="1" applyFill="1" applyBorder="1" applyAlignment="1" applyProtection="1">
      <alignment/>
      <protection/>
    </xf>
    <xf numFmtId="1" fontId="49" fillId="25" borderId="0" xfId="112" applyNumberFormat="1" applyFont="1" applyFill="1" applyBorder="1" applyAlignment="1" applyProtection="1">
      <alignment vertical="center"/>
      <protection/>
    </xf>
    <xf numFmtId="178" fontId="1" fillId="0" borderId="34" xfId="112" applyNumberFormat="1" applyFont="1" applyBorder="1" applyAlignment="1" applyProtection="1">
      <alignment horizontal="left" vertical="center"/>
      <protection/>
    </xf>
    <xf numFmtId="1" fontId="66" fillId="0" borderId="0" xfId="112" applyNumberFormat="1" applyFont="1" applyAlignment="1" applyProtection="1">
      <alignment horizontal="left" vertical="center"/>
      <protection/>
    </xf>
    <xf numFmtId="182" fontId="50" fillId="0" borderId="0" xfId="112" applyFont="1" applyAlignment="1" applyProtection="1">
      <alignment horizontal="right" vertical="center"/>
      <protection/>
    </xf>
    <xf numFmtId="182" fontId="0" fillId="0" borderId="40" xfId="112" applyFont="1" applyFill="1" applyBorder="1" applyAlignment="1" applyProtection="1">
      <alignment vertical="center"/>
      <protection/>
    </xf>
    <xf numFmtId="182" fontId="0" fillId="0" borderId="60" xfId="112" applyFont="1" applyFill="1" applyBorder="1" applyAlignment="1" applyProtection="1">
      <alignment vertical="center"/>
      <protection/>
    </xf>
    <xf numFmtId="182" fontId="24" fillId="0" borderId="24" xfId="112" applyFont="1" applyFill="1" applyBorder="1" applyAlignment="1" applyProtection="1">
      <alignment vertical="center"/>
      <protection/>
    </xf>
    <xf numFmtId="178" fontId="24" fillId="0" borderId="26" xfId="112" applyNumberFormat="1" applyFont="1" applyFill="1" applyBorder="1" applyAlignment="1" applyProtection="1">
      <alignment horizontal="centerContinuous" vertical="center"/>
      <protection/>
    </xf>
    <xf numFmtId="178" fontId="68" fillId="0" borderId="26" xfId="112" applyNumberFormat="1" applyFont="1" applyFill="1" applyBorder="1" applyAlignment="1" applyProtection="1" quotePrefix="1">
      <alignment horizontal="centerContinuous" vertical="center"/>
      <protection/>
    </xf>
    <xf numFmtId="178" fontId="24" fillId="0" borderId="38" xfId="112" applyNumberFormat="1" applyFont="1" applyFill="1" applyBorder="1" applyAlignment="1" applyProtection="1">
      <alignment horizontal="centerContinuous" vertical="center"/>
      <protection/>
    </xf>
    <xf numFmtId="178" fontId="68" fillId="0" borderId="48" xfId="112" applyNumberFormat="1" applyFont="1" applyFill="1" applyBorder="1" applyAlignment="1" applyProtection="1" quotePrefix="1">
      <alignment horizontal="centerContinuous" vertical="center"/>
      <protection/>
    </xf>
    <xf numFmtId="178" fontId="24" fillId="0" borderId="19" xfId="112" applyNumberFormat="1" applyFont="1" applyFill="1" applyBorder="1" applyAlignment="1" applyProtection="1">
      <alignment horizontal="centerContinuous" vertical="center"/>
      <protection/>
    </xf>
    <xf numFmtId="182" fontId="0" fillId="0" borderId="38" xfId="112" applyFont="1" applyFill="1" applyBorder="1" applyAlignment="1" applyProtection="1">
      <alignment horizontal="centerContinuous" vertical="center"/>
      <protection/>
    </xf>
    <xf numFmtId="178" fontId="68" fillId="0" borderId="19" xfId="112" applyNumberFormat="1" applyFont="1" applyFill="1" applyBorder="1" applyAlignment="1" applyProtection="1" quotePrefix="1">
      <alignment horizontal="centerContinuous" vertical="center"/>
      <protection/>
    </xf>
    <xf numFmtId="182" fontId="69" fillId="0" borderId="19" xfId="112" applyFont="1" applyFill="1" applyBorder="1" applyAlignment="1" applyProtection="1">
      <alignment horizontal="centerContinuous" vertical="center"/>
      <protection/>
    </xf>
    <xf numFmtId="178" fontId="24" fillId="0" borderId="25" xfId="112" applyNumberFormat="1" applyFont="1" applyFill="1" applyBorder="1" applyAlignment="1" applyProtection="1">
      <alignment horizontal="center" vertical="center"/>
      <protection/>
    </xf>
    <xf numFmtId="178" fontId="24" fillId="0" borderId="26" xfId="112" applyNumberFormat="1" applyFont="1" applyFill="1" applyBorder="1" applyAlignment="1" applyProtection="1">
      <alignment horizontal="center" vertical="center"/>
      <protection/>
    </xf>
    <xf numFmtId="215" fontId="0" fillId="0" borderId="15" xfId="112" applyNumberFormat="1" applyFont="1" applyFill="1" applyBorder="1" applyAlignment="1" applyProtection="1">
      <alignment vertical="center"/>
      <protection/>
    </xf>
    <xf numFmtId="215" fontId="0" fillId="0" borderId="16" xfId="112" applyNumberFormat="1" applyFont="1" applyFill="1" applyBorder="1" applyAlignment="1" applyProtection="1">
      <alignment vertical="center"/>
      <protection/>
    </xf>
    <xf numFmtId="215" fontId="0" fillId="0" borderId="27" xfId="112" applyNumberFormat="1" applyFont="1" applyFill="1" applyBorder="1" applyAlignment="1" applyProtection="1">
      <alignment vertical="center"/>
      <protection/>
    </xf>
    <xf numFmtId="179" fontId="0" fillId="0" borderId="65" xfId="112" applyNumberFormat="1" applyFont="1" applyFill="1" applyBorder="1" applyAlignment="1" applyProtection="1">
      <alignment vertical="center"/>
      <protection/>
    </xf>
    <xf numFmtId="181" fontId="24" fillId="0" borderId="53" xfId="112" applyNumberFormat="1" applyFont="1" applyFill="1" applyBorder="1" applyAlignment="1" applyProtection="1">
      <alignment vertical="center"/>
      <protection/>
    </xf>
    <xf numFmtId="1" fontId="0" fillId="24" borderId="21" xfId="112" applyNumberFormat="1" applyFont="1" applyFill="1" applyBorder="1" applyAlignment="1" applyProtection="1">
      <alignment vertical="center"/>
      <protection/>
    </xf>
    <xf numFmtId="1" fontId="0" fillId="24" borderId="23" xfId="112" applyNumberFormat="1" applyFont="1" applyFill="1" applyBorder="1" applyAlignment="1" applyProtection="1">
      <alignment vertical="center"/>
      <protection/>
    </xf>
    <xf numFmtId="182" fontId="49" fillId="4" borderId="0" xfId="112" applyFont="1" applyFill="1" applyAlignment="1" applyProtection="1">
      <alignment vertical="center"/>
      <protection/>
    </xf>
    <xf numFmtId="1" fontId="31" fillId="0" borderId="0" xfId="112" applyNumberFormat="1" applyFont="1" applyBorder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181" fontId="24" fillId="0" borderId="0" xfId="112" applyNumberFormat="1" applyFont="1" applyBorder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center" vertical="center"/>
      <protection/>
    </xf>
    <xf numFmtId="182" fontId="0" fillId="5" borderId="0" xfId="112" applyFont="1" applyFill="1" applyBorder="1" applyAlignment="1" applyProtection="1">
      <alignment vertical="center"/>
      <protection/>
    </xf>
    <xf numFmtId="2" fontId="0" fillId="0" borderId="0" xfId="112" applyNumberFormat="1" applyFont="1" applyBorder="1" applyAlignment="1" applyProtection="1">
      <alignment horizontal="right" vertical="center"/>
      <protection/>
    </xf>
    <xf numFmtId="1" fontId="24" fillId="0" borderId="0" xfId="112" applyNumberFormat="1" applyFont="1" applyBorder="1" applyAlignment="1" applyProtection="1">
      <alignment horizontal="right" vertical="center"/>
      <protection/>
    </xf>
    <xf numFmtId="3" fontId="24" fillId="0" borderId="0" xfId="112" applyNumberFormat="1" applyFont="1" applyBorder="1" applyAlignment="1" applyProtection="1">
      <alignment horizontal="right" vertical="center"/>
      <protection/>
    </xf>
    <xf numFmtId="182" fontId="0" fillId="0" borderId="0" xfId="112" applyFont="1" applyBorder="1" applyAlignment="1" applyProtection="1">
      <alignment horizontal="right" vertical="center"/>
      <protection/>
    </xf>
    <xf numFmtId="178" fontId="24" fillId="0" borderId="25" xfId="112" applyNumberFormat="1" applyFont="1" applyBorder="1" applyAlignment="1" applyProtection="1">
      <alignment horizontal="centerContinuous" vertical="center"/>
      <protection/>
    </xf>
    <xf numFmtId="214" fontId="0" fillId="0" borderId="40" xfId="112" applyNumberFormat="1" applyFont="1" applyBorder="1" applyAlignment="1" applyProtection="1">
      <alignment vertical="center"/>
      <protection/>
    </xf>
    <xf numFmtId="214" fontId="0" fillId="0" borderId="60" xfId="112" applyNumberFormat="1" applyFont="1" applyBorder="1" applyAlignment="1" applyProtection="1">
      <alignment vertical="center"/>
      <protection/>
    </xf>
    <xf numFmtId="214" fontId="0" fillId="0" borderId="59" xfId="112" applyNumberFormat="1" applyFont="1" applyBorder="1" applyAlignment="1" applyProtection="1">
      <alignment vertical="center"/>
      <protection/>
    </xf>
    <xf numFmtId="214" fontId="0" fillId="0" borderId="30" xfId="112" applyNumberFormat="1" applyFont="1" applyBorder="1" applyAlignment="1" applyProtection="1">
      <alignment vertical="center"/>
      <protection/>
    </xf>
    <xf numFmtId="186" fontId="24" fillId="0" borderId="36" xfId="112" applyNumberFormat="1" applyFont="1" applyFill="1" applyBorder="1" applyAlignment="1" applyProtection="1">
      <alignment vertical="center"/>
      <protection/>
    </xf>
    <xf numFmtId="214" fontId="0" fillId="0" borderId="42" xfId="112" applyNumberFormat="1" applyFont="1" applyBorder="1" applyAlignment="1" applyProtection="1">
      <alignment vertical="center"/>
      <protection/>
    </xf>
    <xf numFmtId="0" fontId="0" fillId="0" borderId="41" xfId="112" applyNumberFormat="1" applyFont="1" applyFill="1" applyBorder="1" applyAlignment="1" applyProtection="1">
      <alignment vertical="center"/>
      <protection/>
    </xf>
    <xf numFmtId="178" fontId="24" fillId="0" borderId="26" xfId="112" applyNumberFormat="1" applyFont="1" applyFill="1" applyBorder="1" applyAlignment="1" applyProtection="1">
      <alignment vertical="center"/>
      <protection/>
    </xf>
    <xf numFmtId="178" fontId="24" fillId="0" borderId="46" xfId="112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2" fontId="32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/>
      <protection/>
    </xf>
    <xf numFmtId="49" fontId="32" fillId="4" borderId="0" xfId="112" applyNumberFormat="1" applyFont="1" applyFill="1" applyBorder="1" applyAlignment="1" applyProtection="1">
      <alignment vertical="center"/>
      <protection/>
    </xf>
    <xf numFmtId="49" fontId="32" fillId="4" borderId="0" xfId="112" applyNumberFormat="1" applyFont="1" applyFill="1" applyAlignment="1" applyProtection="1">
      <alignment vertical="center"/>
      <protection/>
    </xf>
    <xf numFmtId="0" fontId="0" fillId="0" borderId="46" xfId="112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7" borderId="42" xfId="112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vertical="center"/>
    </xf>
    <xf numFmtId="0" fontId="0" fillId="7" borderId="43" xfId="0" applyFont="1" applyFill="1" applyBorder="1" applyAlignment="1" applyProtection="1">
      <alignment horizontal="left"/>
      <protection locked="0"/>
    </xf>
    <xf numFmtId="195" fontId="0" fillId="7" borderId="43" xfId="0" applyNumberFormat="1" applyFont="1" applyFill="1" applyBorder="1" applyAlignment="1" applyProtection="1">
      <alignment horizontal="left"/>
      <protection locked="0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0" fontId="0" fillId="0" borderId="42" xfId="112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182" fontId="24" fillId="0" borderId="22" xfId="112" applyFont="1" applyBorder="1" applyAlignment="1">
      <alignment horizontal="center"/>
      <protection/>
    </xf>
    <xf numFmtId="182" fontId="24" fillId="0" borderId="37" xfId="112" applyFont="1" applyBorder="1" applyAlignment="1">
      <alignment horizontal="center"/>
      <protection/>
    </xf>
    <xf numFmtId="182" fontId="24" fillId="0" borderId="24" xfId="112" applyFont="1" applyBorder="1" applyAlignment="1">
      <alignment horizontal="center"/>
      <protection/>
    </xf>
    <xf numFmtId="182" fontId="0" fillId="0" borderId="20" xfId="112" applyFont="1" applyBorder="1" applyAlignment="1">
      <alignment horizontal="center"/>
      <protection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 [0]" xfId="90"/>
    <cellStyle name="Eingabe" xfId="91"/>
    <cellStyle name="Entrée" xfId="92"/>
    <cellStyle name="Ergebnis" xfId="93"/>
    <cellStyle name="Erklärender Text" xfId="94"/>
    <cellStyle name="Gut" xfId="95"/>
    <cellStyle name="Insatisfaisant" xfId="96"/>
    <cellStyle name="Comma" xfId="97"/>
    <cellStyle name="Lien hypertexte" xfId="98"/>
    <cellStyle name="Lien hypertexte visité" xfId="99"/>
    <cellStyle name="Lien hypertexte_Texte" xfId="100"/>
    <cellStyle name="Hyperlink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Vérification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ont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  <fill>
        <patternFill patternType="solid">
          <bgColor indexed="2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ont>
        <b/>
        <i val="0"/>
        <color indexed="10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28575</xdr:colOff>
      <xdr:row>48</xdr:row>
      <xdr:rowOff>28575</xdr:rowOff>
    </xdr:from>
    <xdr:to>
      <xdr:col>22</xdr:col>
      <xdr:colOff>133350</xdr:colOff>
      <xdr:row>93</xdr:row>
      <xdr:rowOff>123825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8134350"/>
          <a:ext cx="5638800" cy="7381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76200</xdr:colOff>
      <xdr:row>50</xdr:row>
      <xdr:rowOff>28575</xdr:rowOff>
    </xdr:from>
    <xdr:to>
      <xdr:col>31</xdr:col>
      <xdr:colOff>581025</xdr:colOff>
      <xdr:row>96</xdr:row>
      <xdr:rowOff>133350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11125" y="8458200"/>
          <a:ext cx="5838825" cy="7553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742950</xdr:colOff>
      <xdr:row>0</xdr:row>
      <xdr:rowOff>28575</xdr:rowOff>
    </xdr:from>
    <xdr:to>
      <xdr:col>24</xdr:col>
      <xdr:colOff>76200</xdr:colOff>
      <xdr:row>48</xdr:row>
      <xdr:rowOff>85725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rcRect r="520"/>
        <a:stretch>
          <a:fillRect/>
        </a:stretch>
      </xdr:blipFill>
      <xdr:spPr>
        <a:xfrm>
          <a:off x="6048375" y="28575"/>
          <a:ext cx="676275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85725</xdr:colOff>
      <xdr:row>0</xdr:row>
      <xdr:rowOff>85725</xdr:rowOff>
    </xdr:from>
    <xdr:to>
      <xdr:col>33</xdr:col>
      <xdr:colOff>133350</xdr:colOff>
      <xdr:row>48</xdr:row>
      <xdr:rowOff>133350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rcRect t="433" b="1300"/>
        <a:stretch>
          <a:fillRect/>
        </a:stretch>
      </xdr:blipFill>
      <xdr:spPr>
        <a:xfrm>
          <a:off x="12820650" y="85725"/>
          <a:ext cx="6905625" cy="815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147</xdr:row>
      <xdr:rowOff>123825</xdr:rowOff>
    </xdr:from>
    <xdr:ext cx="666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12954000" y="243840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15</xdr:col>
      <xdr:colOff>123825</xdr:colOff>
      <xdr:row>94</xdr:row>
      <xdr:rowOff>104775</xdr:rowOff>
    </xdr:from>
    <xdr:to>
      <xdr:col>20</xdr:col>
      <xdr:colOff>981075</xdr:colOff>
      <xdr:row>189</xdr:row>
      <xdr:rowOff>57150</xdr:rowOff>
    </xdr:to>
    <xdr:sp>
      <xdr:nvSpPr>
        <xdr:cNvPr id="2" name="recVorhang"/>
        <xdr:cNvSpPr>
          <a:spLocks/>
        </xdr:cNvSpPr>
      </xdr:nvSpPr>
      <xdr:spPr>
        <a:xfrm>
          <a:off x="8686800" y="15868650"/>
          <a:ext cx="4238625" cy="1480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GridLines="0" showRowColHeaders="0" showZeros="0" tabSelected="1" workbookViewId="0" topLeftCell="A1">
      <selection activeCell="A1" sqref="A1"/>
    </sheetView>
  </sheetViews>
  <sheetFormatPr defaultColWidth="11.421875" defaultRowHeight="12.75" outlineLevelRow="12"/>
  <cols>
    <col min="1" max="1" width="1.7109375" style="124" customWidth="1"/>
    <col min="2" max="2" width="22.8515625" style="124" customWidth="1"/>
    <col min="3" max="3" width="14.57421875" style="124" customWidth="1"/>
    <col min="4" max="4" width="29.28125" style="124" customWidth="1"/>
    <col min="5" max="5" width="6.8515625" style="124" customWidth="1"/>
    <col min="6" max="6" width="4.28125" style="124" customWidth="1"/>
    <col min="7" max="7" width="11.28125" style="124" customWidth="1"/>
    <col min="8" max="8" width="0.85546875" style="124" customWidth="1"/>
    <col min="9" max="9" width="6.8515625" style="124" hidden="1" customWidth="1"/>
    <col min="10" max="15" width="11.421875" style="124" hidden="1" customWidth="1"/>
    <col min="16" max="21" width="11.421875" style="124" customWidth="1"/>
    <col min="22" max="22" width="13.57421875" style="124" customWidth="1"/>
    <col min="23" max="23" width="11.421875" style="124" customWidth="1"/>
    <col min="24" max="24" width="5.7109375" style="124" customWidth="1"/>
    <col min="25" max="16384" width="11.421875" style="124" customWidth="1"/>
  </cols>
  <sheetData>
    <row r="1" spans="7:12" ht="21" customHeight="1">
      <c r="G1" s="88" t="str">
        <f>Texte!A6</f>
        <v>Version: 1.6</v>
      </c>
      <c r="L1" s="420" t="s">
        <v>851</v>
      </c>
    </row>
    <row r="2" spans="1:8" ht="21" customHeight="1">
      <c r="A2" s="8"/>
      <c r="B2" s="7"/>
      <c r="C2" s="125" t="str">
        <f>Texte!A4</f>
        <v>Anleitung</v>
      </c>
      <c r="G2" s="87" t="str">
        <f>Texte!A5</f>
        <v>GMF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365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367</v>
      </c>
      <c r="D6" s="10"/>
      <c r="E6" s="10"/>
      <c r="F6" s="10"/>
      <c r="G6" s="11"/>
      <c r="H6" s="12"/>
      <c r="N6" s="126" t="s">
        <v>625</v>
      </c>
      <c r="O6" s="126"/>
    </row>
    <row r="7" spans="1:15" ht="12.75" customHeight="1">
      <c r="A7" s="8"/>
      <c r="B7" s="8" t="s">
        <v>366</v>
      </c>
      <c r="D7" s="10"/>
      <c r="E7" s="10"/>
      <c r="F7" s="10"/>
      <c r="G7" s="11"/>
      <c r="H7" s="12"/>
      <c r="N7" s="126"/>
      <c r="O7" s="126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26"/>
      <c r="O8" s="126"/>
    </row>
    <row r="9" spans="1:15" ht="18.75">
      <c r="A9" s="8"/>
      <c r="B9" s="62" t="str">
        <f>Texte!A9</f>
        <v>Sprache:</v>
      </c>
      <c r="C9" s="411" t="s">
        <v>622</v>
      </c>
      <c r="F9" s="8"/>
      <c r="G9" s="11"/>
      <c r="H9" s="12"/>
      <c r="N9" s="126" t="s">
        <v>622</v>
      </c>
      <c r="O9" s="126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26" t="s">
        <v>623</v>
      </c>
      <c r="O10" s="126">
        <v>2</v>
      </c>
    </row>
    <row r="11" spans="2:15" ht="15.75">
      <c r="B11" s="127" t="str">
        <f>Texte!A10</f>
        <v>Anleitung</v>
      </c>
      <c r="C11" s="127"/>
      <c r="N11" s="126" t="s">
        <v>624</v>
      </c>
      <c r="O11" s="126">
        <v>3</v>
      </c>
    </row>
    <row r="12" spans="2:3" ht="12.75">
      <c r="B12" s="65" t="str">
        <f>Texte!A11</f>
        <v>grüne Zellen:</v>
      </c>
      <c r="C12" s="124" t="str">
        <f>Texte!A14</f>
        <v>Auswahllisten</v>
      </c>
    </row>
    <row r="13" spans="2:3" ht="12.75">
      <c r="B13" s="66" t="str">
        <f>Texte!A12</f>
        <v>gelbe Zeilen:</v>
      </c>
      <c r="C13" s="124" t="str">
        <f>Texte!A15</f>
        <v>zur Dateneingabe</v>
      </c>
    </row>
    <row r="14" spans="2:3" ht="12.75">
      <c r="B14" s="67" t="str">
        <f>Texte!A13</f>
        <v>weisse Zellen: </v>
      </c>
      <c r="C14" s="124" t="str">
        <f>Texte!A16</f>
        <v>gesperrte Zellen</v>
      </c>
    </row>
    <row r="15" ht="12.75"/>
    <row r="16" spans="2:3" ht="15.75">
      <c r="B16" s="127" t="str">
        <f>Texte!A17</f>
        <v>Vorgehen:</v>
      </c>
      <c r="C16" s="127"/>
    </row>
    <row r="17" spans="2:3" ht="18" customHeight="1">
      <c r="B17" s="145" t="str">
        <f>Texte!A18</f>
        <v>Grundsatz: Übereinstimmung mit Suisse-Bilanz muss sein</v>
      </c>
      <c r="C17" s="128"/>
    </row>
    <row r="18" ht="6.75" customHeight="1"/>
    <row r="19" ht="12.75">
      <c r="B19" s="143" t="str">
        <f>Texte!A19</f>
        <v>1. Betriebsangaben ausfüllen, insbesondere die "Gebietszuteilung"</v>
      </c>
    </row>
    <row r="20" ht="12.75">
      <c r="B20" s="143" t="str">
        <f>Texte!A20</f>
        <v>2. Teil A: Grund- und Kraftfutterverzehr</v>
      </c>
    </row>
    <row r="21" ht="12.75">
      <c r="B21" s="487" t="str">
        <f>Texte!A21</f>
        <v>    - Alle Tierarten mit Grundfutterverzehr erfassen</v>
      </c>
    </row>
    <row r="22" ht="12.75">
      <c r="B22" s="487" t="str">
        <f>Texte!A22</f>
        <v>    - Pro Tierkategorie die Gesamtmenge Kraftfutter, die auf</v>
      </c>
    </row>
    <row r="23" ht="12.75">
      <c r="B23" s="487" t="str">
        <f>Texte!A23</f>
        <v>      dem Ganzjahresbetrieb verfüttert wird, erfassen.</v>
      </c>
    </row>
    <row r="24" ht="12.75">
      <c r="B24" s="487" t="str">
        <f>Texte!A24</f>
        <v>    - Sömmerung: bei den Tierzahlen müssen die Anzahl gesömmerte Tiere (positiv) </v>
      </c>
    </row>
    <row r="25" ht="12.75">
      <c r="B25" s="487" t="str">
        <f>Texte!A25</f>
        <v>      und die Tage Sömmerung separat erfasst werden.</v>
      </c>
    </row>
    <row r="26" ht="12.75">
      <c r="B26" s="487" t="str">
        <f>Texte!A26</f>
        <v>    - Falls die Sömmerung erfasst wird, muss die effektiv verfütterte Menge an</v>
      </c>
    </row>
    <row r="27" spans="2:7" ht="12.75">
      <c r="B27" s="487" t="str">
        <f>Texte!A27</f>
        <v>      Kraftfutter zwingend in der Futterbilanz deklariert werden. </v>
      </c>
      <c r="G27" s="573"/>
    </row>
    <row r="28" spans="2:7" ht="12.75">
      <c r="B28" s="487" t="str">
        <f>Texte!A28</f>
        <v>    - KF-Verzehr während Sömmerung nur möglich für gemolkene Tiere folgender Kategorien: Milchkühe,</v>
      </c>
      <c r="G28" s="573"/>
    </row>
    <row r="29" spans="2:7" ht="12.75">
      <c r="B29" s="487" t="str">
        <f>Texte!A29</f>
        <v>      Milchschafe und Milchziegen. Maximal 1 kg KF/Kuh/d, 0.25 kg/Schaf/d, 0.2kg/Ziege/d</v>
      </c>
      <c r="G29" s="573"/>
    </row>
    <row r="30" ht="12.75">
      <c r="B30" s="487" t="str">
        <f>Texte!A30</f>
        <v>    - Für Grund- und Kraftfutter während der Sömmerung gelten ebenfalls </v>
      </c>
    </row>
    <row r="31" ht="12.75">
      <c r="B31" s="487" t="str">
        <f>Texte!A31</f>
        <v>      die Definitionen gemäss Anhang 5 DZV.</v>
      </c>
    </row>
    <row r="32" ht="12.75">
      <c r="B32" s="143" t="str">
        <f>Texte!A32</f>
        <v>3. Teil B: Grundfutterproduktion</v>
      </c>
    </row>
    <row r="33" ht="12.75">
      <c r="B33" s="487" t="str">
        <f>Texte!A33</f>
        <v>    - Flächen und Erträge erfassen</v>
      </c>
    </row>
    <row r="34" ht="12.75">
      <c r="B34" s="487" t="str">
        <f>Texte!A34</f>
        <v>    - Für Wiesen und Weiden gelten Maximalwerte</v>
      </c>
    </row>
    <row r="35" ht="12.75">
      <c r="B35" s="487" t="str">
        <f>Texte!A35</f>
        <v>    - Höhere Erträge nur mit Ertragsgutachten möglich</v>
      </c>
    </row>
    <row r="36" ht="12.75">
      <c r="B36" s="487" t="str">
        <f>Texte!A36</f>
        <v>    - Erträge Zwischenkulturen max. 25 dt TS</v>
      </c>
    </row>
    <row r="37" ht="12.75">
      <c r="B37" s="143" t="str">
        <f>Texte!A41</f>
        <v>4. Teil C: Zu- und Wegfuhr Grundfutter erfassen</v>
      </c>
    </row>
    <row r="38" ht="12.75">
      <c r="B38" s="487" t="str">
        <f>Texte!A42</f>
        <v>    - Code wählen: Zu-, Verkauf, GF produziert ausserhalb der Futterfläche</v>
      </c>
    </row>
    <row r="39" ht="12.75">
      <c r="B39" s="487" t="str">
        <f>Texte!A43</f>
        <v>    - Achtung: Grundfutterbilanz muss ausgeglichen sein: Vergleich von </v>
      </c>
    </row>
    <row r="40" ht="12.75">
      <c r="B40" s="487" t="str">
        <f>Texte!A44</f>
        <v>      "B1: Grundfutterproduktion total" und "Total auf der Futterfläche </v>
      </c>
    </row>
    <row r="41" ht="12.75">
      <c r="B41" s="487" t="str">
        <f>Texte!A45</f>
        <v>      zu produzierendes Grundfutter (GFprod)"</v>
      </c>
    </row>
    <row r="42" ht="12.75">
      <c r="B42" s="143" t="str">
        <f>Texte!A46</f>
        <v>5. Teil D: Bilanz </v>
      </c>
    </row>
    <row r="43" ht="12.75">
      <c r="B43" s="487" t="str">
        <f>Texte!A47</f>
        <v>    - Abhängig von der Gebietszuteilung wird angezeigt, </v>
      </c>
    </row>
    <row r="44" ht="12.75">
      <c r="B44" s="487" t="str">
        <f>Texte!A48</f>
        <v>      ob die Mindestanteile an der Ration erfüllt sind oder nicht.</v>
      </c>
    </row>
    <row r="45" ht="12.75">
      <c r="B45" s="488" t="str">
        <f>Texte!A49</f>
        <v>      Grün=Erfüllt</v>
      </c>
    </row>
    <row r="46" ht="12.75">
      <c r="B46" s="489" t="str">
        <f>Texte!A50</f>
        <v>      Rot=Nicht erfüllt</v>
      </c>
    </row>
    <row r="47" ht="12.75">
      <c r="B47" s="143"/>
    </row>
    <row r="48" ht="12.75">
      <c r="B48" s="143"/>
    </row>
    <row r="49" ht="12.75">
      <c r="B49" s="146"/>
    </row>
    <row r="50" ht="12.75">
      <c r="B50" s="146"/>
    </row>
    <row r="51" ht="12.75">
      <c r="B51" s="146"/>
    </row>
    <row r="52" ht="12.75">
      <c r="B52" s="146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 outlineLevel="12" collapsed="1"/>
    <row r="82" ht="12.75"/>
    <row r="83" ht="12.75" outlineLevel="3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5" ht="12.75"/>
    <row r="96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874015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50" max="6" man="1"/>
  </rowBreaks>
  <colBreaks count="1" manualBreakCount="1">
    <brk id="7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Z439"/>
  <sheetViews>
    <sheetView showGridLines="0" showRowColHeaders="0" workbookViewId="0" topLeftCell="A1">
      <selection activeCell="A1" sqref="A1"/>
    </sheetView>
  </sheetViews>
  <sheetFormatPr defaultColWidth="12.140625" defaultRowHeight="12.75"/>
  <cols>
    <col min="1" max="1" width="1.7109375" style="149" customWidth="1"/>
    <col min="2" max="2" width="18.140625" style="149" customWidth="1"/>
    <col min="3" max="3" width="10.28125" style="149" customWidth="1"/>
    <col min="4" max="4" width="3.00390625" style="149" customWidth="1"/>
    <col min="5" max="5" width="6.7109375" style="149" customWidth="1"/>
    <col min="6" max="7" width="7.421875" style="149" customWidth="1"/>
    <col min="8" max="8" width="8.421875" style="149" customWidth="1"/>
    <col min="9" max="9" width="7.28125" style="149" customWidth="1"/>
    <col min="10" max="11" width="9.28125" style="149" customWidth="1"/>
    <col min="12" max="12" width="8.57421875" style="149" customWidth="1"/>
    <col min="13" max="13" width="14.7109375" style="149" customWidth="1"/>
    <col min="14" max="14" width="7.28125" style="149" customWidth="1"/>
    <col min="15" max="15" width="8.8515625" style="149" customWidth="1"/>
    <col min="16" max="16" width="2.421875" style="149" customWidth="1"/>
    <col min="17" max="17" width="11.421875" style="149" customWidth="1"/>
    <col min="18" max="18" width="14.28125" style="149" customWidth="1"/>
    <col min="19" max="19" width="11.57421875" style="149" customWidth="1"/>
    <col min="20" max="20" width="11.00390625" style="149" customWidth="1"/>
    <col min="21" max="21" width="15.140625" style="149" customWidth="1"/>
    <col min="22" max="22" width="7.140625" style="149" hidden="1" customWidth="1"/>
    <col min="23" max="23" width="17.57421875" style="149" hidden="1" customWidth="1"/>
    <col min="24" max="24" width="28.7109375" style="149" hidden="1" customWidth="1"/>
    <col min="25" max="26" width="6.28125" style="149" hidden="1" customWidth="1"/>
    <col min="27" max="27" width="5.8515625" style="149" hidden="1" customWidth="1"/>
    <col min="28" max="28" width="19.140625" style="150" hidden="1" customWidth="1"/>
    <col min="29" max="29" width="8.8515625" style="150" hidden="1" customWidth="1"/>
    <col min="30" max="30" width="3.421875" style="150" hidden="1" customWidth="1"/>
    <col min="31" max="31" width="8.7109375" style="151" hidden="1" customWidth="1"/>
    <col min="32" max="32" width="12.00390625" style="150" hidden="1" customWidth="1"/>
    <col min="33" max="33" width="9.421875" style="150" hidden="1" customWidth="1"/>
    <col min="34" max="34" width="8.00390625" style="149" customWidth="1"/>
    <col min="35" max="37" width="8.7109375" style="152" customWidth="1"/>
    <col min="38" max="38" width="8.7109375" style="149" customWidth="1"/>
    <col min="39" max="41" width="6.421875" style="149" customWidth="1"/>
    <col min="42" max="16384" width="12.140625" style="149" customWidth="1"/>
  </cols>
  <sheetData>
    <row r="1" spans="27:37" ht="9" customHeight="1">
      <c r="AA1" s="150"/>
      <c r="AD1" s="151"/>
      <c r="AE1" s="150"/>
      <c r="AG1" s="149"/>
      <c r="AH1" s="152"/>
      <c r="AK1" s="149"/>
    </row>
    <row r="2" spans="1:47" ht="21" customHeight="1">
      <c r="A2" s="153"/>
      <c r="D2" s="154" t="str">
        <f>Texte!A53</f>
        <v>Futterbilanz für die graslandbasierte</v>
      </c>
      <c r="L2" s="155"/>
      <c r="Q2" s="156"/>
      <c r="R2" s="156"/>
      <c r="S2" s="156" t="str">
        <f>Texte!A5</f>
        <v>GMF</v>
      </c>
      <c r="U2" s="288"/>
      <c r="V2" s="706" t="s">
        <v>185</v>
      </c>
      <c r="X2" s="171" t="s">
        <v>941</v>
      </c>
      <c r="Y2" s="171" t="s">
        <v>1241</v>
      </c>
      <c r="AA2" s="150"/>
      <c r="AB2" s="157"/>
      <c r="AC2" s="157"/>
      <c r="AD2" s="157"/>
      <c r="AE2" s="157"/>
      <c r="AF2" s="157"/>
      <c r="AG2" s="157"/>
      <c r="AH2" s="152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</row>
    <row r="3" spans="1:47" ht="21" customHeight="1">
      <c r="A3" s="153"/>
      <c r="D3" s="154" t="str">
        <f>Texte!A54</f>
        <v>Milch- und Fleischproduktion</v>
      </c>
      <c r="L3" s="155"/>
      <c r="N3" s="159"/>
      <c r="Q3" s="472"/>
      <c r="R3" s="472"/>
      <c r="S3" s="472" t="str">
        <f>Texte!A6</f>
        <v>Version: 1.6</v>
      </c>
      <c r="U3" s="288"/>
      <c r="V3" s="157"/>
      <c r="X3" s="171" t="s">
        <v>942</v>
      </c>
      <c r="Y3" s="171"/>
      <c r="AA3" s="150"/>
      <c r="AB3" s="157"/>
      <c r="AC3" s="157"/>
      <c r="AD3" s="157"/>
      <c r="AE3" s="157"/>
      <c r="AF3" s="157"/>
      <c r="AG3" s="157"/>
      <c r="AH3" s="152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</row>
    <row r="4" spans="2:46" ht="9.75" customHeight="1">
      <c r="B4" s="155"/>
      <c r="C4" s="155"/>
      <c r="E4" s="155"/>
      <c r="F4" s="155"/>
      <c r="G4" s="155"/>
      <c r="H4" s="155"/>
      <c r="I4" s="155"/>
      <c r="J4" s="155"/>
      <c r="K4" s="155"/>
      <c r="L4" s="155"/>
      <c r="Q4" s="470"/>
      <c r="R4" s="470"/>
      <c r="S4" s="470" t="str">
        <f>Texte!A7</f>
        <v>dazugehörende Suisse-Bilanz Aufl. 1.15</v>
      </c>
      <c r="U4" s="412"/>
      <c r="V4" s="157"/>
      <c r="W4" s="157"/>
      <c r="Y4" s="157"/>
      <c r="AA4" s="150"/>
      <c r="AB4" s="157"/>
      <c r="AC4" s="157"/>
      <c r="AD4" s="157"/>
      <c r="AE4" s="157"/>
      <c r="AF4" s="157"/>
      <c r="AG4" s="160"/>
      <c r="AH4" s="152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</row>
    <row r="5" spans="2:46" ht="3" customHeight="1" thickBot="1">
      <c r="B5" s="161"/>
      <c r="C5" s="161"/>
      <c r="D5" s="162"/>
      <c r="E5" s="161"/>
      <c r="F5" s="163"/>
      <c r="G5" s="163"/>
      <c r="H5" s="163"/>
      <c r="I5" s="164"/>
      <c r="J5" s="162"/>
      <c r="K5" s="162"/>
      <c r="L5" s="162"/>
      <c r="M5" s="162"/>
      <c r="N5" s="162"/>
      <c r="O5" s="162"/>
      <c r="P5" s="162"/>
      <c r="Q5" s="162"/>
      <c r="R5" s="162"/>
      <c r="S5" s="162"/>
      <c r="U5" s="157"/>
      <c r="V5" s="157"/>
      <c r="W5" s="157"/>
      <c r="X5" s="157"/>
      <c r="Y5" s="157"/>
      <c r="AA5" s="150"/>
      <c r="AB5" s="157"/>
      <c r="AC5" s="157"/>
      <c r="AD5" s="157"/>
      <c r="AE5" s="157"/>
      <c r="AF5" s="157"/>
      <c r="AG5" s="165"/>
      <c r="AH5" s="152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</row>
    <row r="6" spans="2:46" ht="12.75" customHeight="1">
      <c r="B6" s="154"/>
      <c r="C6" s="154"/>
      <c r="E6" s="154"/>
      <c r="F6" s="166"/>
      <c r="G6" s="166"/>
      <c r="H6" s="166"/>
      <c r="I6" s="167"/>
      <c r="J6" s="155"/>
      <c r="M6" s="168"/>
      <c r="N6" s="168"/>
      <c r="O6" s="168"/>
      <c r="P6" s="168"/>
      <c r="Q6" s="168"/>
      <c r="R6" s="168"/>
      <c r="S6" s="168"/>
      <c r="T6" s="157"/>
      <c r="U6" s="157"/>
      <c r="V6" s="465" t="s">
        <v>1264</v>
      </c>
      <c r="W6" s="157"/>
      <c r="X6" s="157"/>
      <c r="Y6" s="157"/>
      <c r="AA6" s="150"/>
      <c r="AB6" s="157"/>
      <c r="AC6" s="157"/>
      <c r="AD6" s="157"/>
      <c r="AE6" s="157"/>
      <c r="AF6" s="157"/>
      <c r="AG6" s="165"/>
      <c r="AH6" s="152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</row>
    <row r="7" spans="2:46" ht="15" customHeight="1">
      <c r="B7" s="85" t="str">
        <f>Texte!A55</f>
        <v>Betriebsnummer</v>
      </c>
      <c r="C7" s="79"/>
      <c r="D7" s="80"/>
      <c r="E7" s="80"/>
      <c r="F7" s="80"/>
      <c r="G7" s="80"/>
      <c r="H7" s="80"/>
      <c r="I7" s="80"/>
      <c r="M7" s="107" t="str">
        <f>Texte!A56</f>
        <v>Erntejahr</v>
      </c>
      <c r="N7" s="81"/>
      <c r="O7" s="80"/>
      <c r="P7" s="80"/>
      <c r="Q7" s="80"/>
      <c r="R7" s="80"/>
      <c r="S7" s="80"/>
      <c r="T7" s="157"/>
      <c r="U7" s="157"/>
      <c r="V7" s="465" t="s">
        <v>1240</v>
      </c>
      <c r="W7" s="157"/>
      <c r="X7" s="157"/>
      <c r="Y7" s="465" t="s">
        <v>578</v>
      </c>
      <c r="AA7" s="150"/>
      <c r="AB7" s="465" t="s">
        <v>580</v>
      </c>
      <c r="AC7" s="157"/>
      <c r="AD7" s="157"/>
      <c r="AE7" s="157"/>
      <c r="AF7" s="157"/>
      <c r="AG7" s="160"/>
      <c r="AH7" s="152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</row>
    <row r="8" spans="2:47" ht="15" customHeight="1">
      <c r="B8" s="78" t="str">
        <f>Texte!A57</f>
        <v>Name / Vorname</v>
      </c>
      <c r="C8" s="79"/>
      <c r="D8" s="80"/>
      <c r="E8" s="80"/>
      <c r="F8" s="80"/>
      <c r="G8" s="80"/>
      <c r="H8" s="80"/>
      <c r="I8" s="80"/>
      <c r="M8" s="107" t="str">
        <f>Texte!A58</f>
        <v>Variante</v>
      </c>
      <c r="N8" s="81"/>
      <c r="O8" s="80"/>
      <c r="P8" s="80"/>
      <c r="Q8" s="80"/>
      <c r="R8" s="80"/>
      <c r="S8" s="80"/>
      <c r="T8" s="157"/>
      <c r="U8" s="157"/>
      <c r="V8" s="157"/>
      <c r="W8" s="157"/>
      <c r="X8" s="157"/>
      <c r="Y8" s="131"/>
      <c r="Z8" s="124"/>
      <c r="AA8" s="124"/>
      <c r="AB8" s="131"/>
      <c r="AC8" s="157"/>
      <c r="AD8" s="157"/>
      <c r="AE8" s="157"/>
      <c r="AF8" s="157"/>
      <c r="AG8" s="157"/>
      <c r="AH8" s="152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</row>
    <row r="9" spans="13:47" ht="15" customHeight="1">
      <c r="M9" s="169"/>
      <c r="R9" s="157"/>
      <c r="S9" s="157"/>
      <c r="T9" s="157"/>
      <c r="U9" s="157"/>
      <c r="V9" s="131" t="str">
        <f>Texte!A68</f>
        <v>Talgebiet</v>
      </c>
      <c r="W9" s="170">
        <v>1</v>
      </c>
      <c r="X9" s="171"/>
      <c r="Y9" s="131" t="str">
        <f>Texte!A71</f>
        <v>Ökonachweis: nicht erfüllt</v>
      </c>
      <c r="Z9" s="131"/>
      <c r="AA9" s="131"/>
      <c r="AB9" s="131" t="str">
        <f>Texte!A75</f>
        <v>keine</v>
      </c>
      <c r="AC9" s="157"/>
      <c r="AD9" s="157"/>
      <c r="AE9" s="157"/>
      <c r="AF9" s="157"/>
      <c r="AG9" s="157"/>
      <c r="AH9" s="172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</row>
    <row r="10" spans="2:47" ht="15" customHeight="1">
      <c r="B10" s="78" t="str">
        <f>Texte!A59</f>
        <v>Strasse / Hof</v>
      </c>
      <c r="C10" s="81"/>
      <c r="D10" s="80"/>
      <c r="E10" s="80"/>
      <c r="F10" s="80"/>
      <c r="G10" s="80"/>
      <c r="H10" s="80"/>
      <c r="I10" s="80"/>
      <c r="M10" s="107" t="str">
        <f>Texte!A60</f>
        <v>Kanton</v>
      </c>
      <c r="N10" s="81"/>
      <c r="O10" s="80"/>
      <c r="P10" s="80"/>
      <c r="Q10" s="80"/>
      <c r="R10" s="80"/>
      <c r="S10" s="80"/>
      <c r="T10" s="157"/>
      <c r="U10" s="157"/>
      <c r="V10" s="131" t="str">
        <f>Texte!A69</f>
        <v>Berggebiet</v>
      </c>
      <c r="W10" s="170">
        <v>2</v>
      </c>
      <c r="X10" s="171"/>
      <c r="Y10" s="131" t="str">
        <f>Texte!A72</f>
        <v>Ökonachweis: erfüllt</v>
      </c>
      <c r="Z10" s="131"/>
      <c r="AA10" s="131"/>
      <c r="AB10" s="131" t="str">
        <f>Texte!A76</f>
        <v>Gemeinschaft / ein Betrieb</v>
      </c>
      <c r="AC10" s="157"/>
      <c r="AD10" s="157"/>
      <c r="AE10" s="157"/>
      <c r="AF10" s="157"/>
      <c r="AG10" s="157"/>
      <c r="AH10" s="172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</row>
    <row r="11" spans="2:47" ht="15" customHeight="1">
      <c r="B11" s="78" t="str">
        <f>Texte!A61</f>
        <v>PLZ / Ort</v>
      </c>
      <c r="C11" s="81"/>
      <c r="D11" s="80"/>
      <c r="E11" s="80"/>
      <c r="F11" s="80"/>
      <c r="G11" s="80"/>
      <c r="H11" s="80"/>
      <c r="I11" s="80"/>
      <c r="M11" s="107" t="str">
        <f>Texte!A62</f>
        <v>Fax / E-Mail</v>
      </c>
      <c r="N11" s="428"/>
      <c r="O11" s="86"/>
      <c r="P11" s="86"/>
      <c r="Q11" s="86"/>
      <c r="R11" s="80"/>
      <c r="S11" s="80"/>
      <c r="T11" s="157"/>
      <c r="U11" s="157"/>
      <c r="V11" s="446">
        <f>IF(C15="",0,VLOOKUP($C$15,$V$9:$W$10,2,FALSE))</f>
        <v>0</v>
      </c>
      <c r="W11" s="170"/>
      <c r="X11" s="171"/>
      <c r="Y11" s="131" t="str">
        <f>Texte!A73</f>
        <v>Biologischer Landbau</v>
      </c>
      <c r="Z11" s="131"/>
      <c r="AA11" s="131"/>
      <c r="AB11" s="131" t="str">
        <f>Texte!A77</f>
        <v>mit 2 Betrieben</v>
      </c>
      <c r="AC11" s="157"/>
      <c r="AD11" s="157"/>
      <c r="AE11" s="157"/>
      <c r="AF11" s="157"/>
      <c r="AG11" s="157"/>
      <c r="AH11" s="172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</row>
    <row r="12" spans="2:47" ht="15" customHeight="1">
      <c r="B12" s="78" t="str">
        <f>Texte!A63</f>
        <v>Telefon</v>
      </c>
      <c r="C12" s="81"/>
      <c r="D12" s="80"/>
      <c r="E12" s="80"/>
      <c r="F12" s="80"/>
      <c r="G12" s="80"/>
      <c r="H12" s="80"/>
      <c r="I12" s="80"/>
      <c r="M12" s="107" t="str">
        <f>Texte!A64</f>
        <v>Handy</v>
      </c>
      <c r="N12" s="81"/>
      <c r="O12" s="80"/>
      <c r="P12" s="80"/>
      <c r="Q12" s="80"/>
      <c r="R12" s="80"/>
      <c r="S12" s="80"/>
      <c r="T12" s="157"/>
      <c r="U12" s="157"/>
      <c r="V12" s="131"/>
      <c r="W12" s="170"/>
      <c r="X12" s="171"/>
      <c r="Y12" s="131"/>
      <c r="Z12" s="131"/>
      <c r="AA12" s="131"/>
      <c r="AB12" s="131" t="str">
        <f>Texte!A78</f>
        <v>mit 3 Betrieben</v>
      </c>
      <c r="AC12" s="157"/>
      <c r="AD12" s="157"/>
      <c r="AE12" s="157"/>
      <c r="AF12" s="157"/>
      <c r="AG12" s="157"/>
      <c r="AH12" s="172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</row>
    <row r="13" spans="13:47" ht="15" customHeight="1">
      <c r="M13" s="169"/>
      <c r="R13" s="157"/>
      <c r="S13" s="157"/>
      <c r="T13" s="157"/>
      <c r="U13" s="157"/>
      <c r="V13" s="466" t="s">
        <v>1265</v>
      </c>
      <c r="W13" s="170"/>
      <c r="X13" s="171"/>
      <c r="Z13" s="131"/>
      <c r="AA13" s="131"/>
      <c r="AB13" s="131" t="str">
        <f>Texte!A79</f>
        <v>mit 4 Betrieben</v>
      </c>
      <c r="AC13" s="157"/>
      <c r="AD13" s="157"/>
      <c r="AE13" s="157"/>
      <c r="AF13" s="157"/>
      <c r="AG13" s="157"/>
      <c r="AH13" s="172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</row>
    <row r="14" spans="2:47" ht="15" customHeight="1">
      <c r="B14" s="78" t="str">
        <f>Texte!A65</f>
        <v>Landw. Nutzfläche</v>
      </c>
      <c r="C14" s="129"/>
      <c r="D14" s="80"/>
      <c r="E14" s="80"/>
      <c r="F14" s="80"/>
      <c r="G14" s="80"/>
      <c r="H14" s="80"/>
      <c r="I14" s="80"/>
      <c r="M14" s="107" t="str">
        <f>Texte!A66</f>
        <v>Höhe über Meer</v>
      </c>
      <c r="N14" s="81"/>
      <c r="O14" s="80"/>
      <c r="P14" s="80"/>
      <c r="Q14" s="80"/>
      <c r="R14" s="80"/>
      <c r="S14" s="80"/>
      <c r="T14" s="157"/>
      <c r="U14" s="157"/>
      <c r="W14" s="170"/>
      <c r="X14" s="171"/>
      <c r="Y14" s="171"/>
      <c r="Z14" s="131"/>
      <c r="AA14" s="131"/>
      <c r="AB14" s="181"/>
      <c r="AC14" s="157"/>
      <c r="AD14" s="157"/>
      <c r="AE14" s="157"/>
      <c r="AF14" s="157"/>
      <c r="AG14" s="157"/>
      <c r="AH14" s="172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</row>
    <row r="15" spans="2:47" ht="15" customHeight="1">
      <c r="B15" s="78" t="str">
        <f>Texte!A67</f>
        <v>Gebietszuteilung</v>
      </c>
      <c r="C15" s="737"/>
      <c r="D15" s="737"/>
      <c r="E15" s="737"/>
      <c r="F15" s="737"/>
      <c r="G15" s="737"/>
      <c r="H15" s="737"/>
      <c r="I15" s="737"/>
      <c r="M15" s="107" t="str">
        <f>Texte!A70</f>
        <v>Produktionsform</v>
      </c>
      <c r="N15" s="736"/>
      <c r="O15" s="736"/>
      <c r="P15" s="736"/>
      <c r="Q15" s="736"/>
      <c r="R15" s="736"/>
      <c r="S15" s="736"/>
      <c r="T15" s="157"/>
      <c r="U15" s="157"/>
      <c r="V15" s="171" t="str">
        <f>Texte!A87</f>
        <v>ja</v>
      </c>
      <c r="W15" s="174"/>
      <c r="X15" s="171"/>
      <c r="Y15" s="171"/>
      <c r="Z15" s="131"/>
      <c r="AA15" s="131"/>
      <c r="AB15" s="157"/>
      <c r="AC15" s="157"/>
      <c r="AD15" s="157"/>
      <c r="AE15" s="157"/>
      <c r="AF15" s="157"/>
      <c r="AG15" s="157"/>
      <c r="AH15" s="172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</row>
    <row r="16" spans="13:47" ht="15" customHeight="1">
      <c r="M16" s="107" t="str">
        <f>Texte!A74</f>
        <v>Gemeinschaften</v>
      </c>
      <c r="N16" s="736"/>
      <c r="O16" s="736"/>
      <c r="P16" s="736"/>
      <c r="Q16" s="736"/>
      <c r="R16" s="736"/>
      <c r="S16" s="736"/>
      <c r="T16" s="157"/>
      <c r="U16" s="157"/>
      <c r="V16" s="171" t="str">
        <f>Texte!A88</f>
        <v>nein</v>
      </c>
      <c r="W16" s="174"/>
      <c r="X16" s="171"/>
      <c r="Y16" s="171"/>
      <c r="Z16" s="131"/>
      <c r="AA16" s="131"/>
      <c r="AB16" s="157"/>
      <c r="AC16" s="157"/>
      <c r="AD16" s="157"/>
      <c r="AE16" s="157"/>
      <c r="AF16" s="157"/>
      <c r="AG16" s="157"/>
      <c r="AH16" s="172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</row>
    <row r="17" spans="2:47" ht="7.5" customHeight="1">
      <c r="B17" s="78"/>
      <c r="C17" s="148"/>
      <c r="D17" s="78"/>
      <c r="M17" s="157"/>
      <c r="N17" s="157"/>
      <c r="O17" s="157"/>
      <c r="P17" s="157"/>
      <c r="Q17" s="544"/>
      <c r="R17" s="544"/>
      <c r="S17" s="544"/>
      <c r="T17" s="157"/>
      <c r="U17" s="157"/>
      <c r="V17" s="181"/>
      <c r="W17" s="171"/>
      <c r="X17" s="171"/>
      <c r="Y17" s="171"/>
      <c r="Z17" s="131"/>
      <c r="AA17" s="131"/>
      <c r="AB17" s="157"/>
      <c r="AC17" s="157"/>
      <c r="AD17" s="157"/>
      <c r="AE17" s="157"/>
      <c r="AF17" s="157"/>
      <c r="AG17" s="157"/>
      <c r="AH17" s="172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</row>
    <row r="18" spans="2:47" ht="15" customHeight="1">
      <c r="B18" s="78" t="str">
        <f>Texte!A80</f>
        <v>Berater / Beraterin</v>
      </c>
      <c r="C18" s="81"/>
      <c r="D18" s="80"/>
      <c r="E18" s="80"/>
      <c r="F18" s="80"/>
      <c r="G18" s="80"/>
      <c r="H18" s="80"/>
      <c r="I18" s="80"/>
      <c r="J18" s="80"/>
      <c r="K18" s="80"/>
      <c r="L18" s="82"/>
      <c r="M18" s="82"/>
      <c r="N18" s="82"/>
      <c r="O18" s="82"/>
      <c r="P18" s="82"/>
      <c r="Q18" s="82"/>
      <c r="R18" s="82"/>
      <c r="S18" s="82"/>
      <c r="T18" s="435"/>
      <c r="U18" s="436"/>
      <c r="X18" s="171"/>
      <c r="Y18" s="171"/>
      <c r="AA18" s="131"/>
      <c r="AB18" s="157"/>
      <c r="AC18" s="157"/>
      <c r="AD18" s="157"/>
      <c r="AE18" s="157"/>
      <c r="AF18" s="157"/>
      <c r="AG18" s="157"/>
      <c r="AH18" s="172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</row>
    <row r="19" spans="4:47" ht="15" customHeight="1">
      <c r="D19" s="64"/>
      <c r="T19" s="175"/>
      <c r="U19" s="175"/>
      <c r="X19" s="171"/>
      <c r="Y19" s="171"/>
      <c r="AA19" s="131"/>
      <c r="AB19" s="157"/>
      <c r="AC19" s="157"/>
      <c r="AD19" s="157"/>
      <c r="AE19" s="157"/>
      <c r="AF19" s="157"/>
      <c r="AG19" s="157"/>
      <c r="AH19" s="172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</row>
    <row r="20" spans="2:47" ht="15" customHeight="1">
      <c r="B20" s="78" t="str">
        <f>Texte!A81</f>
        <v>Bemerkungen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 t="s">
        <v>778</v>
      </c>
      <c r="P20" s="84"/>
      <c r="Q20" s="84"/>
      <c r="R20" s="84"/>
      <c r="S20" s="84"/>
      <c r="T20" s="175" t="s">
        <v>778</v>
      </c>
      <c r="U20" s="175"/>
      <c r="X20" s="171"/>
      <c r="Y20" s="171"/>
      <c r="AA20" s="131"/>
      <c r="AB20" s="157"/>
      <c r="AC20" s="157"/>
      <c r="AD20" s="157"/>
      <c r="AE20" s="157"/>
      <c r="AF20" s="157"/>
      <c r="AG20" s="157"/>
      <c r="AH20" s="172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</row>
    <row r="21" spans="2:47" ht="15" customHeight="1">
      <c r="B21" s="176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 t="s">
        <v>778</v>
      </c>
      <c r="P21" s="84"/>
      <c r="Q21" s="84"/>
      <c r="R21" s="84"/>
      <c r="S21" s="84"/>
      <c r="T21" s="175" t="s">
        <v>778</v>
      </c>
      <c r="U21" s="175"/>
      <c r="X21" s="171"/>
      <c r="Y21" s="171"/>
      <c r="AA21" s="131"/>
      <c r="AB21" s="157"/>
      <c r="AC21" s="157"/>
      <c r="AD21" s="157"/>
      <c r="AE21" s="157"/>
      <c r="AF21" s="157"/>
      <c r="AG21" s="157"/>
      <c r="AH21" s="172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</row>
    <row r="22" spans="2:47" ht="15" customHeight="1">
      <c r="B22" s="176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 t="s">
        <v>778</v>
      </c>
      <c r="P22" s="84"/>
      <c r="Q22" s="84"/>
      <c r="R22" s="84"/>
      <c r="S22" s="84"/>
      <c r="T22" s="175" t="s">
        <v>778</v>
      </c>
      <c r="U22" s="175"/>
      <c r="X22" s="171"/>
      <c r="Y22" s="171"/>
      <c r="AA22" s="131"/>
      <c r="AB22" s="157"/>
      <c r="AC22" s="157"/>
      <c r="AD22" s="157"/>
      <c r="AE22" s="157"/>
      <c r="AF22" s="157"/>
      <c r="AG22" s="157"/>
      <c r="AH22" s="172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</row>
    <row r="23" spans="2:47" ht="15" customHeight="1">
      <c r="B23" s="176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 t="s">
        <v>778</v>
      </c>
      <c r="P23" s="84"/>
      <c r="Q23" s="84"/>
      <c r="R23" s="84"/>
      <c r="S23" s="84"/>
      <c r="T23" s="175" t="s">
        <v>778</v>
      </c>
      <c r="U23" s="175"/>
      <c r="X23" s="171"/>
      <c r="Y23" s="171"/>
      <c r="AA23" s="131"/>
      <c r="AB23" s="157"/>
      <c r="AC23" s="157"/>
      <c r="AD23" s="157"/>
      <c r="AE23" s="157"/>
      <c r="AF23" s="157"/>
      <c r="AG23" s="157"/>
      <c r="AH23" s="172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</row>
    <row r="24" spans="2:47" ht="15" customHeight="1">
      <c r="B24" s="176"/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 t="s">
        <v>778</v>
      </c>
      <c r="P24" s="84"/>
      <c r="Q24" s="84"/>
      <c r="R24" s="84"/>
      <c r="S24" s="84"/>
      <c r="T24" s="175" t="s">
        <v>778</v>
      </c>
      <c r="U24" s="175"/>
      <c r="X24" s="171"/>
      <c r="Y24" s="171"/>
      <c r="AA24" s="131"/>
      <c r="AB24" s="157"/>
      <c r="AC24" s="157"/>
      <c r="AD24" s="157"/>
      <c r="AE24" s="157"/>
      <c r="AF24" s="157"/>
      <c r="AG24" s="157"/>
      <c r="AH24" s="172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</row>
    <row r="25" spans="2:47" ht="15" customHeight="1">
      <c r="B25" s="176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 t="s">
        <v>778</v>
      </c>
      <c r="P25" s="84"/>
      <c r="Q25" s="84"/>
      <c r="R25" s="84"/>
      <c r="S25" s="84"/>
      <c r="T25" s="157" t="s">
        <v>778</v>
      </c>
      <c r="U25" s="157"/>
      <c r="V25" s="171"/>
      <c r="W25" s="171"/>
      <c r="X25" s="171"/>
      <c r="Y25" s="171"/>
      <c r="AA25" s="131"/>
      <c r="AB25" s="157"/>
      <c r="AC25" s="157"/>
      <c r="AD25" s="157"/>
      <c r="AE25" s="157"/>
      <c r="AF25" s="157"/>
      <c r="AG25" s="157"/>
      <c r="AH25" s="172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</row>
    <row r="26" spans="2:47" ht="15" customHeight="1">
      <c r="B26" s="176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 t="s">
        <v>778</v>
      </c>
      <c r="P26" s="84"/>
      <c r="Q26" s="84"/>
      <c r="R26" s="84"/>
      <c r="S26" s="84"/>
      <c r="T26" s="157" t="s">
        <v>778</v>
      </c>
      <c r="U26" s="157"/>
      <c r="V26" s="171"/>
      <c r="W26" s="171"/>
      <c r="X26" s="171"/>
      <c r="Y26" s="171"/>
      <c r="AA26" s="131"/>
      <c r="AB26" s="157"/>
      <c r="AC26" s="157"/>
      <c r="AD26" s="157"/>
      <c r="AE26" s="157"/>
      <c r="AF26" s="157"/>
      <c r="AG26" s="157"/>
      <c r="AH26" s="172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</row>
    <row r="27" spans="2:47" ht="15" customHeight="1">
      <c r="B27" s="176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 t="s">
        <v>778</v>
      </c>
      <c r="P27" s="84"/>
      <c r="Q27" s="84"/>
      <c r="R27" s="84"/>
      <c r="S27" s="84"/>
      <c r="T27" s="157" t="s">
        <v>778</v>
      </c>
      <c r="U27" s="157"/>
      <c r="W27" s="171"/>
      <c r="X27" s="171"/>
      <c r="Y27" s="171"/>
      <c r="AA27" s="131"/>
      <c r="AB27" s="157"/>
      <c r="AC27" s="157"/>
      <c r="AD27" s="157"/>
      <c r="AE27" s="157"/>
      <c r="AF27" s="157"/>
      <c r="AG27" s="157"/>
      <c r="AH27" s="172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</row>
    <row r="28" spans="2:47" ht="15" customHeight="1">
      <c r="B28" s="176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 t="s">
        <v>778</v>
      </c>
      <c r="P28" s="84"/>
      <c r="Q28" s="84"/>
      <c r="R28" s="84"/>
      <c r="S28" s="84"/>
      <c r="T28" s="157" t="s">
        <v>778</v>
      </c>
      <c r="U28" s="157"/>
      <c r="W28" s="171"/>
      <c r="X28" s="171"/>
      <c r="Y28" s="171"/>
      <c r="AA28" s="131"/>
      <c r="AB28" s="157"/>
      <c r="AC28" s="157"/>
      <c r="AD28" s="157"/>
      <c r="AE28" s="157"/>
      <c r="AF28" s="157"/>
      <c r="AG28" s="157"/>
      <c r="AH28" s="172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</row>
    <row r="29" spans="2:47" ht="15" customHeight="1">
      <c r="B29" s="176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 t="s">
        <v>778</v>
      </c>
      <c r="P29" s="84"/>
      <c r="Q29" s="84"/>
      <c r="R29" s="84"/>
      <c r="S29" s="84"/>
      <c r="T29" s="157" t="s">
        <v>778</v>
      </c>
      <c r="U29" s="157"/>
      <c r="W29" s="171"/>
      <c r="X29" s="171"/>
      <c r="Y29" s="171"/>
      <c r="AA29" s="131"/>
      <c r="AB29" s="157"/>
      <c r="AC29" s="157"/>
      <c r="AD29" s="157"/>
      <c r="AE29" s="157"/>
      <c r="AF29" s="157"/>
      <c r="AG29" s="157"/>
      <c r="AH29" s="172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</row>
    <row r="30" spans="14:47" ht="15" customHeight="1">
      <c r="N30" s="157"/>
      <c r="O30" s="157"/>
      <c r="P30" s="157"/>
      <c r="Q30" s="157"/>
      <c r="R30" s="157"/>
      <c r="S30" s="157"/>
      <c r="T30" s="157"/>
      <c r="U30" s="157"/>
      <c r="W30" s="171"/>
      <c r="X30" s="171"/>
      <c r="Y30" s="171"/>
      <c r="AA30" s="131"/>
      <c r="AB30" s="157"/>
      <c r="AC30" s="157"/>
      <c r="AD30" s="157"/>
      <c r="AE30" s="157"/>
      <c r="AF30" s="157"/>
      <c r="AG30" s="157"/>
      <c r="AH30" s="172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</row>
    <row r="31" spans="1:47" ht="16.5" customHeight="1">
      <c r="A31" s="177"/>
      <c r="B31" s="178" t="str">
        <f>Texte!A82</f>
        <v>Teil A: Grund- und Kraftfutterverzehr (Bedarf)</v>
      </c>
      <c r="C31" s="177"/>
      <c r="D31" s="177"/>
      <c r="E31" s="177"/>
      <c r="F31" s="179"/>
      <c r="G31" s="179"/>
      <c r="H31" s="179"/>
      <c r="I31" s="179"/>
      <c r="J31" s="179"/>
      <c r="U31" s="180"/>
      <c r="W31" s="181"/>
      <c r="Y31" s="181"/>
      <c r="Z31" s="467" t="s">
        <v>1266</v>
      </c>
      <c r="AA31" s="648"/>
      <c r="AB31" s="684" t="s">
        <v>474</v>
      </c>
      <c r="AD31" s="184"/>
      <c r="AE31" s="183"/>
      <c r="AF31" s="185"/>
      <c r="AG31" s="149"/>
      <c r="AH31" s="180"/>
      <c r="AI31" s="160"/>
      <c r="AJ31" s="160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</row>
    <row r="32" spans="2:47" ht="9.75" customHeight="1">
      <c r="B32" s="186"/>
      <c r="C32" s="186"/>
      <c r="D32" s="186"/>
      <c r="E32" s="186"/>
      <c r="I32" s="155"/>
      <c r="U32" s="187"/>
      <c r="W32" s="181"/>
      <c r="Y32" s="313" t="s">
        <v>472</v>
      </c>
      <c r="Z32" s="446">
        <f>IF(G41=0,0,F33/G41*100)</f>
        <v>0</v>
      </c>
      <c r="AA32" s="652"/>
      <c r="AB32" s="653" t="s">
        <v>743</v>
      </c>
      <c r="AC32" s="654">
        <v>1</v>
      </c>
      <c r="AD32" s="187"/>
      <c r="AE32" s="183"/>
      <c r="AF32" s="183"/>
      <c r="AG32" s="187"/>
      <c r="AH32" s="180"/>
      <c r="AI32" s="180"/>
      <c r="AJ32" s="180"/>
      <c r="AK32" s="18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</row>
    <row r="33" spans="1:47" ht="13.5" customHeight="1">
      <c r="A33" s="186"/>
      <c r="C33" s="186"/>
      <c r="E33" s="189" t="str">
        <f>Texte!A83</f>
        <v>Total Kraftfutterverbrauch für Milchkühe auf LN</v>
      </c>
      <c r="F33" s="52"/>
      <c r="G33" s="149" t="str">
        <f>Texte!A84</f>
        <v>dt/Jahr</v>
      </c>
      <c r="L33" s="190" t="str">
        <f>Texte!A85</f>
        <v>Fütterung von Kartoffeln oder Futterrüben?</v>
      </c>
      <c r="M33" s="147"/>
      <c r="N33" s="191"/>
      <c r="O33" s="187"/>
      <c r="P33" s="187"/>
      <c r="Q33" s="187"/>
      <c r="R33" s="187"/>
      <c r="S33" s="187"/>
      <c r="W33" s="199"/>
      <c r="X33" s="200"/>
      <c r="Y33" s="313" t="s">
        <v>473</v>
      </c>
      <c r="Z33" s="446">
        <f>IF(G42=0,0,M42/G42*100)</f>
        <v>0</v>
      </c>
      <c r="AA33" s="648"/>
      <c r="AB33" s="655" t="s">
        <v>475</v>
      </c>
      <c r="AC33" s="656">
        <v>0.25</v>
      </c>
      <c r="AD33" s="151"/>
      <c r="AE33" s="150"/>
      <c r="AF33" s="183"/>
      <c r="AG33" s="149"/>
      <c r="AH33" s="152"/>
      <c r="AI33" s="180"/>
      <c r="AJ33" s="180"/>
      <c r="AK33" s="18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</row>
    <row r="34" spans="1:47" ht="13.5" customHeight="1">
      <c r="A34" s="186"/>
      <c r="B34" s="192"/>
      <c r="C34" s="186"/>
      <c r="L34" s="193" t="str">
        <f>Texte!A86</f>
        <v>ad libitum-Fütterung?</v>
      </c>
      <c r="M34" s="147"/>
      <c r="N34" s="194"/>
      <c r="O34" s="180"/>
      <c r="P34" s="180"/>
      <c r="Q34" s="180"/>
      <c r="R34" s="180"/>
      <c r="S34" s="180"/>
      <c r="W34" s="199"/>
      <c r="X34" s="200"/>
      <c r="Y34" s="201"/>
      <c r="Z34" s="201"/>
      <c r="AA34" s="648"/>
      <c r="AB34" s="655" t="s">
        <v>476</v>
      </c>
      <c r="AC34" s="656">
        <v>0.2</v>
      </c>
      <c r="AD34" s="151"/>
      <c r="AE34" s="150"/>
      <c r="AF34" s="183"/>
      <c r="AG34" s="149"/>
      <c r="AH34" s="152"/>
      <c r="AI34" s="180"/>
      <c r="AJ34" s="180"/>
      <c r="AK34" s="18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</row>
    <row r="35" spans="1:48" ht="12" customHeight="1">
      <c r="A35" s="195"/>
      <c r="B35" s="196"/>
      <c r="C35" s="196"/>
      <c r="D35" s="196"/>
      <c r="E35" s="196"/>
      <c r="F35" s="197"/>
      <c r="G35" s="197"/>
      <c r="H35" s="197"/>
      <c r="I35" s="197"/>
      <c r="J35" s="197"/>
      <c r="K35" s="197"/>
      <c r="L35" s="197"/>
      <c r="M35" s="197"/>
      <c r="N35" s="197"/>
      <c r="O35" s="155"/>
      <c r="P35" s="155"/>
      <c r="Q35" s="155"/>
      <c r="R35" s="155"/>
      <c r="S35" s="155"/>
      <c r="T35" s="195"/>
      <c r="U35" s="195"/>
      <c r="V35" s="198"/>
      <c r="W35" s="199"/>
      <c r="X35" s="200"/>
      <c r="Y35" s="201"/>
      <c r="Z35" s="201"/>
      <c r="AA35" s="202"/>
      <c r="AB35" s="203"/>
      <c r="AC35" s="203"/>
      <c r="AD35" s="203"/>
      <c r="AE35" s="203"/>
      <c r="AF35" s="204"/>
      <c r="AG35" s="149"/>
      <c r="AH35" s="152"/>
      <c r="AK35" s="149"/>
      <c r="AL35" s="18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</row>
    <row r="36" spans="1:48" ht="12.75" customHeight="1">
      <c r="A36" s="205"/>
      <c r="B36" s="206"/>
      <c r="C36" s="207"/>
      <c r="D36" s="207"/>
      <c r="E36" s="207"/>
      <c r="F36" s="208"/>
      <c r="G36" s="208"/>
      <c r="H36" s="209"/>
      <c r="J36" s="210"/>
      <c r="K36" s="211" t="str">
        <f>Texte!A99</f>
        <v>Grundfutter-</v>
      </c>
      <c r="L36" s="212"/>
      <c r="M36" s="211" t="str">
        <f>Texte!A105</f>
        <v>Kraftfutter-</v>
      </c>
      <c r="N36" s="211" t="str">
        <f>Texte!A110</f>
        <v>Sömmerung</v>
      </c>
      <c r="O36" s="546"/>
      <c r="P36" s="546"/>
      <c r="Q36" s="547"/>
      <c r="R36" s="546"/>
      <c r="S36" s="213"/>
      <c r="T36" s="195"/>
      <c r="U36" s="195"/>
      <c r="V36" s="198"/>
      <c r="W36" s="198"/>
      <c r="X36" s="200"/>
      <c r="Y36" s="201"/>
      <c r="Z36" s="685" t="s">
        <v>833</v>
      </c>
      <c r="AA36" s="199"/>
      <c r="AB36" s="195"/>
      <c r="AC36" s="195"/>
      <c r="AD36" s="195"/>
      <c r="AE36" s="195"/>
      <c r="AF36" s="195"/>
      <c r="AG36" s="149"/>
      <c r="AH36" s="152"/>
      <c r="AK36" s="149"/>
      <c r="AL36" s="188"/>
      <c r="AM36" s="214"/>
      <c r="AN36" s="158"/>
      <c r="AO36" s="158"/>
      <c r="AP36" s="215"/>
      <c r="AQ36" s="158"/>
      <c r="AR36" s="158"/>
      <c r="AS36" s="158"/>
      <c r="AT36" s="158"/>
      <c r="AU36" s="158"/>
      <c r="AV36" s="158"/>
    </row>
    <row r="37" spans="1:48" ht="12.75" customHeight="1">
      <c r="A37" s="216"/>
      <c r="B37" s="217"/>
      <c r="C37" s="218"/>
      <c r="D37" s="218"/>
      <c r="E37" s="218"/>
      <c r="F37" s="219"/>
      <c r="H37" s="220" t="str">
        <f>Texte!A92</f>
        <v>Abzug /</v>
      </c>
      <c r="I37" s="221"/>
      <c r="J37" s="222" t="str">
        <f>Texte!A96</f>
        <v>Anzahl</v>
      </c>
      <c r="K37" s="223" t="str">
        <f>Texte!A100</f>
        <v>verzehr</v>
      </c>
      <c r="L37" s="224"/>
      <c r="M37" s="225" t="str">
        <f>Texte!A106</f>
        <v>verzehr</v>
      </c>
      <c r="N37" s="374"/>
      <c r="O37" s="548"/>
      <c r="P37" s="548"/>
      <c r="Q37" s="549"/>
      <c r="R37" s="550"/>
      <c r="S37" s="226"/>
      <c r="T37" s="229"/>
      <c r="U37" s="229"/>
      <c r="V37" s="198"/>
      <c r="W37" s="198"/>
      <c r="X37" s="200"/>
      <c r="Y37" s="201"/>
      <c r="Z37" s="446">
        <f>IF($M$33="",0,IF($M$33=$V$15,1.1,0))</f>
        <v>0</v>
      </c>
      <c r="AA37" s="199"/>
      <c r="AB37" s="195"/>
      <c r="AC37" s="230"/>
      <c r="AD37" s="195"/>
      <c r="AE37" s="195"/>
      <c r="AF37" s="195"/>
      <c r="AG37" s="149"/>
      <c r="AH37" s="152"/>
      <c r="AK37" s="149"/>
      <c r="AL37" s="188"/>
      <c r="AM37" s="727"/>
      <c r="AN37" s="728"/>
      <c r="AO37" s="728"/>
      <c r="AP37" s="729"/>
      <c r="AQ37" s="158"/>
      <c r="AR37" s="158"/>
      <c r="AS37" s="158"/>
      <c r="AT37" s="158"/>
      <c r="AU37" s="158"/>
      <c r="AV37" s="158"/>
    </row>
    <row r="38" spans="1:47" ht="12.75" customHeight="1">
      <c r="A38" s="205"/>
      <c r="B38" s="232" t="str">
        <f>Texte!A89</f>
        <v>Tierart bzw. Tierkategorie</v>
      </c>
      <c r="C38" s="218"/>
      <c r="D38" s="218"/>
      <c r="E38" s="218"/>
      <c r="F38" s="219" t="str">
        <f>Texte!A90</f>
        <v>Einheit</v>
      </c>
      <c r="G38" s="219" t="str">
        <f>Texte!A91</f>
        <v>Anzahl</v>
      </c>
      <c r="H38" s="220" t="str">
        <f>Texte!A93</f>
        <v>Zuschlag</v>
      </c>
      <c r="I38" s="233"/>
      <c r="J38" s="222" t="str">
        <f>Texte!A97</f>
        <v>korri-</v>
      </c>
      <c r="K38" s="234" t="str">
        <f>Texte!A104</f>
        <v>dt TS</v>
      </c>
      <c r="L38" s="234" t="str">
        <f>Texte!A104</f>
        <v>dt TS</v>
      </c>
      <c r="M38" s="222" t="str">
        <f>Texte!A102</f>
        <v>dt FS</v>
      </c>
      <c r="N38" s="222" t="str">
        <f>Texte!A111</f>
        <v>Anzahl</v>
      </c>
      <c r="O38" s="222" t="str">
        <f>Texte!A113</f>
        <v>Anzahl</v>
      </c>
      <c r="P38" s="221" t="str">
        <f>Texte!A115</f>
        <v>Sömmerungs-</v>
      </c>
      <c r="Q38" s="477"/>
      <c r="R38" s="222" t="str">
        <f>Texte!A117</f>
        <v>GF-Verzehr</v>
      </c>
      <c r="S38" s="222" t="str">
        <f>Texte!A118</f>
        <v>Kraftfutter</v>
      </c>
      <c r="T38" s="235"/>
      <c r="U38" s="235"/>
      <c r="V38" s="138"/>
      <c r="W38" s="198"/>
      <c r="X38" s="200"/>
      <c r="Y38" s="201"/>
      <c r="Z38" s="446">
        <f>IF($M$34="",0,IF($M$34=$V$15,1.83,0))</f>
        <v>0</v>
      </c>
      <c r="AA38" s="236"/>
      <c r="AB38" s="237"/>
      <c r="AC38" s="237"/>
      <c r="AD38" s="137"/>
      <c r="AE38" s="48"/>
      <c r="AF38" s="237"/>
      <c r="AG38" s="149"/>
      <c r="AH38" s="152"/>
      <c r="AK38" s="149"/>
      <c r="AL38" s="188"/>
      <c r="AM38" s="158"/>
      <c r="AN38" s="158"/>
      <c r="AO38" s="158"/>
      <c r="AP38" s="158"/>
      <c r="AQ38" s="158"/>
      <c r="AR38" s="158"/>
      <c r="AS38" s="158"/>
      <c r="AT38" s="158"/>
      <c r="AU38" s="158"/>
    </row>
    <row r="39" spans="1:52" ht="12.75" customHeight="1">
      <c r="A39" s="205"/>
      <c r="B39" s="238"/>
      <c r="C39" s="239"/>
      <c r="D39" s="239"/>
      <c r="E39" s="239"/>
      <c r="F39" s="240"/>
      <c r="G39" s="240"/>
      <c r="H39" s="240" t="str">
        <f>Texte!A94</f>
        <v>± Tiere</v>
      </c>
      <c r="I39" s="241" t="str">
        <f>Texte!A95</f>
        <v>Tage</v>
      </c>
      <c r="J39" s="622" t="str">
        <f>Texte!A98</f>
        <v>giert</v>
      </c>
      <c r="K39" s="242" t="str">
        <f>Texte!A101</f>
        <v>pro Jahr</v>
      </c>
      <c r="L39" s="242" t="str">
        <f>Texte!A103</f>
        <v>total</v>
      </c>
      <c r="M39" s="242" t="str">
        <f>Texte!A103</f>
        <v>total</v>
      </c>
      <c r="N39" s="242" t="str">
        <f>Texte!A112</f>
        <v>Tiere</v>
      </c>
      <c r="O39" s="242" t="str">
        <f>Texte!A114</f>
        <v>Tage</v>
      </c>
      <c r="P39" s="716" t="str">
        <f>Texte!A116</f>
        <v>tage total</v>
      </c>
      <c r="Q39" s="477"/>
      <c r="R39" s="242" t="str">
        <f>Texte!A119</f>
        <v>dt TS total</v>
      </c>
      <c r="S39" s="242" t="str">
        <f>Texte!A120</f>
        <v>dt FS total</v>
      </c>
      <c r="T39" s="235"/>
      <c r="U39" s="235"/>
      <c r="V39" s="243"/>
      <c r="W39" s="254"/>
      <c r="X39" s="200"/>
      <c r="Y39" s="201"/>
      <c r="Z39" s="201"/>
      <c r="AA39" s="244"/>
      <c r="AB39" s="237"/>
      <c r="AC39" s="237"/>
      <c r="AD39" s="245"/>
      <c r="AE39" s="237"/>
      <c r="AF39" s="237"/>
      <c r="AG39" s="149"/>
      <c r="AH39" s="152"/>
      <c r="AK39" s="149"/>
      <c r="AL39" s="18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Z39" s="149">
        <v>0</v>
      </c>
    </row>
    <row r="40" spans="1:48" ht="12.75" customHeight="1">
      <c r="A40" s="205"/>
      <c r="B40" s="246" t="str">
        <f>Texte!A122</f>
        <v>Rindvieh</v>
      </c>
      <c r="C40" s="247"/>
      <c r="D40" s="247"/>
      <c r="E40" s="247"/>
      <c r="F40" s="247"/>
      <c r="G40" s="247"/>
      <c r="H40" s="247"/>
      <c r="I40" s="248"/>
      <c r="J40" s="249"/>
      <c r="K40" s="249"/>
      <c r="L40" s="249"/>
      <c r="M40" s="249"/>
      <c r="N40" s="249"/>
      <c r="O40" s="249"/>
      <c r="P40" s="374"/>
      <c r="Q40" s="249"/>
      <c r="R40" s="249"/>
      <c r="S40" s="249"/>
      <c r="T40" s="235"/>
      <c r="U40" s="235"/>
      <c r="V40" s="243"/>
      <c r="W40" s="254"/>
      <c r="X40" s="200"/>
      <c r="Y40" s="201"/>
      <c r="Z40" s="201"/>
      <c r="AA40" s="244"/>
      <c r="AB40" s="237"/>
      <c r="AC40" s="237"/>
      <c r="AD40" s="245"/>
      <c r="AE40" s="237"/>
      <c r="AF40" s="237"/>
      <c r="AG40" s="149"/>
      <c r="AH40" s="152"/>
      <c r="AK40" s="149"/>
      <c r="AL40" s="18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</row>
    <row r="41" spans="1:52" ht="12.75" customHeight="1">
      <c r="A41" s="250"/>
      <c r="B41" s="251" t="str">
        <f>Texte!A124</f>
        <v>Milchkühe</v>
      </c>
      <c r="C41" s="252"/>
      <c r="D41" s="491" t="str">
        <f>Texte!A123</f>
        <v>Ø Milchprod. kg/Jahr</v>
      </c>
      <c r="E41" s="253"/>
      <c r="F41" s="2" t="str">
        <f>IF($B41="","",VLOOKUP($B41,Daten!$B$8:$E$59,2,FALSE))</f>
        <v>1 Stück</v>
      </c>
      <c r="G41" s="98"/>
      <c r="H41" s="99"/>
      <c r="I41" s="99"/>
      <c r="J41" s="615">
        <f>IF(OR(AND(H41&lt;0,G41&lt;ABS(H41)),I41&gt;365),"!",G41+(H41*I41/365))</f>
        <v>0</v>
      </c>
      <c r="K41" s="615">
        <f>(E41-7500)/100*0.08+56+((-80+0.025*E41)*E41/1000-Z32)*0.012+Z37+Z38</f>
        <v>50</v>
      </c>
      <c r="L41" s="619">
        <f aca="true" t="shared" si="0" ref="L41:L60">IF(J41&gt;0,J41*K41,"")</f>
      </c>
      <c r="M41" s="621">
        <f>F33</f>
        <v>0</v>
      </c>
      <c r="N41" s="99"/>
      <c r="O41" s="99"/>
      <c r="P41" s="725"/>
      <c r="Q41" s="719">
        <f>N41*O41</f>
        <v>0</v>
      </c>
      <c r="R41" s="619">
        <f>IF($N41=0,"",IF(E41&lt;=7500,56-(7500-E41)/100*0.08,56+(E41-7500)/100*0.08)*$Q41/365)</f>
      </c>
      <c r="S41" s="553"/>
      <c r="T41" s="554">
        <f>IF(S41=0,"",IF(S41&gt;N41*O41*AC32/100,Texte!A185,""))</f>
      </c>
      <c r="U41" s="48"/>
      <c r="V41" s="134"/>
      <c r="W41" s="254"/>
      <c r="X41" s="200"/>
      <c r="Y41" s="201"/>
      <c r="Z41" s="201"/>
      <c r="AA41" s="135"/>
      <c r="AB41" s="255"/>
      <c r="AC41" s="136"/>
      <c r="AD41" s="137"/>
      <c r="AE41" s="137"/>
      <c r="AF41" s="137"/>
      <c r="AG41" s="149"/>
      <c r="AH41" s="152"/>
      <c r="AK41" s="149"/>
      <c r="AL41" s="188"/>
      <c r="AM41" s="214"/>
      <c r="AN41" s="158"/>
      <c r="AO41" s="158"/>
      <c r="AP41" s="215"/>
      <c r="AQ41" s="158"/>
      <c r="AR41" s="158"/>
      <c r="AS41" s="158"/>
      <c r="AT41" s="158"/>
      <c r="AU41" s="158"/>
      <c r="AV41" s="158"/>
      <c r="AZ41" s="185">
        <v>50</v>
      </c>
    </row>
    <row r="42" spans="1:52" ht="12.75" customHeight="1">
      <c r="A42" s="250"/>
      <c r="B42" s="256" t="str">
        <f>Texte!A125</f>
        <v>andere Kühe</v>
      </c>
      <c r="C42" s="257"/>
      <c r="D42" s="491" t="str">
        <f>Texte!A123</f>
        <v>Ø Milchprod. kg/Jahr</v>
      </c>
      <c r="E42" s="258"/>
      <c r="F42" s="2" t="str">
        <f>IF($B42="","",VLOOKUP($B42,Daten!$B$8:$E$59,2,FALSE))</f>
        <v>1 Stück</v>
      </c>
      <c r="G42" s="98"/>
      <c r="H42" s="100"/>
      <c r="I42" s="100"/>
      <c r="J42" s="615">
        <f aca="true" t="shared" si="1" ref="J42:J81">IF(OR(AND(H42&lt;0,G42&lt;ABS(H42)),I42&gt;365),"!",G42+(H42*I42/365))</f>
        <v>0</v>
      </c>
      <c r="K42" s="615">
        <f>(E42-7500)/100*0.08+56+((-80+0.025*E42)*E42/1000-Z33)*0.012+Z37+Z38</f>
        <v>50</v>
      </c>
      <c r="L42" s="619">
        <f t="shared" si="0"/>
      </c>
      <c r="M42" s="100"/>
      <c r="N42" s="100"/>
      <c r="O42" s="100"/>
      <c r="P42" s="722"/>
      <c r="Q42" s="719">
        <f aca="true" t="shared" si="2" ref="Q42:Q67">N42*O42</f>
        <v>0</v>
      </c>
      <c r="R42" s="619">
        <f aca="true" t="shared" si="3" ref="R42:R60">IF($N42=0,"",$K42*$Q42/365)</f>
      </c>
      <c r="S42" s="271"/>
      <c r="T42" s="48"/>
      <c r="U42" s="48"/>
      <c r="V42" s="134"/>
      <c r="W42" s="254"/>
      <c r="X42" s="200"/>
      <c r="Y42" s="201"/>
      <c r="Z42" s="201"/>
      <c r="AA42" s="135"/>
      <c r="AB42" s="255"/>
      <c r="AC42" s="136"/>
      <c r="AD42" s="137"/>
      <c r="AE42" s="137"/>
      <c r="AF42" s="137"/>
      <c r="AG42" s="149"/>
      <c r="AH42" s="152"/>
      <c r="AK42" s="149"/>
      <c r="AL42" s="188"/>
      <c r="AM42" s="727"/>
      <c r="AN42" s="728"/>
      <c r="AO42" s="728"/>
      <c r="AP42" s="729"/>
      <c r="AQ42" s="158"/>
      <c r="AR42" s="158"/>
      <c r="AS42" s="158"/>
      <c r="AT42" s="158"/>
      <c r="AU42" s="158"/>
      <c r="AV42" s="158"/>
      <c r="AZ42" s="185">
        <v>100</v>
      </c>
    </row>
    <row r="43" spans="1:52" ht="12.75" customHeight="1">
      <c r="A43" s="250"/>
      <c r="B43" s="256" t="str">
        <f>Texte!A126</f>
        <v>Ausmastkuh</v>
      </c>
      <c r="C43" s="683" t="str">
        <f>Texte!A128</f>
        <v>arbeitsteiliger Produktion</v>
      </c>
      <c r="D43" s="491"/>
      <c r="F43" s="2" t="str">
        <f>IF($B43="","",VLOOKUP($B43,Daten!$B$8:$E$59,2,FALSE))</f>
        <v>1 Stück</v>
      </c>
      <c r="G43" s="98"/>
      <c r="H43" s="100"/>
      <c r="I43" s="100"/>
      <c r="J43" s="615">
        <f t="shared" si="1"/>
        <v>0</v>
      </c>
      <c r="K43" s="616">
        <f>IF($B43="","",VLOOKUP($B43,Daten!$B$8:$E$59,4,FALSE))</f>
        <v>53.2</v>
      </c>
      <c r="L43" s="619">
        <f t="shared" si="0"/>
      </c>
      <c r="M43" s="100"/>
      <c r="N43" s="100"/>
      <c r="O43" s="100"/>
      <c r="P43" s="717"/>
      <c r="Q43" s="719">
        <f>N43*O43</f>
        <v>0</v>
      </c>
      <c r="R43" s="619">
        <f t="shared" si="3"/>
      </c>
      <c r="S43" s="271"/>
      <c r="T43" s="48"/>
      <c r="U43" s="48"/>
      <c r="V43" s="134"/>
      <c r="W43" s="254"/>
      <c r="X43" s="200"/>
      <c r="Y43" s="201"/>
      <c r="Z43" s="201"/>
      <c r="AA43" s="135"/>
      <c r="AB43" s="255"/>
      <c r="AC43" s="136"/>
      <c r="AD43" s="137"/>
      <c r="AE43" s="137"/>
      <c r="AF43" s="137"/>
      <c r="AG43" s="149"/>
      <c r="AH43" s="152"/>
      <c r="AK43" s="149"/>
      <c r="AL43" s="188"/>
      <c r="AM43" s="231"/>
      <c r="AN43" s="132"/>
      <c r="AO43" s="132"/>
      <c r="AP43" s="133"/>
      <c r="AQ43" s="158"/>
      <c r="AR43" s="158"/>
      <c r="AS43" s="158"/>
      <c r="AT43" s="158"/>
      <c r="AU43" s="158"/>
      <c r="AV43" s="158"/>
      <c r="AZ43" s="185"/>
    </row>
    <row r="44" spans="1:52" ht="12.75" customHeight="1">
      <c r="A44" s="250"/>
      <c r="B44" s="256" t="str">
        <f>Texte!A127</f>
        <v>Galtkuh</v>
      </c>
      <c r="C44" s="683" t="str">
        <f>Texte!A128</f>
        <v>arbeitsteiliger Produktion</v>
      </c>
      <c r="D44" s="257"/>
      <c r="E44" s="257"/>
      <c r="F44" s="2" t="str">
        <f>IF($B44="","",VLOOKUP($B44,Daten!$B$8:$E$59,2,FALSE))</f>
        <v>1 Stück</v>
      </c>
      <c r="G44" s="98"/>
      <c r="H44" s="100"/>
      <c r="I44" s="100"/>
      <c r="J44" s="615">
        <f t="shared" si="1"/>
        <v>0</v>
      </c>
      <c r="K44" s="616">
        <f>IF($B44="","",VLOOKUP($B44,Daten!$B$8:$E$59,4,FALSE))</f>
        <v>40.6</v>
      </c>
      <c r="L44" s="619">
        <f t="shared" si="0"/>
      </c>
      <c r="M44" s="100"/>
      <c r="N44" s="100"/>
      <c r="O44" s="100"/>
      <c r="P44" s="717"/>
      <c r="Q44" s="719">
        <f>N44*O44</f>
        <v>0</v>
      </c>
      <c r="R44" s="619">
        <f t="shared" si="3"/>
      </c>
      <c r="S44" s="271"/>
      <c r="T44" s="48"/>
      <c r="U44" s="48"/>
      <c r="V44" s="134"/>
      <c r="W44" s="254"/>
      <c r="X44" s="200"/>
      <c r="Y44" s="201"/>
      <c r="Z44" s="201"/>
      <c r="AA44" s="135"/>
      <c r="AB44" s="255"/>
      <c r="AC44" s="136"/>
      <c r="AD44" s="137"/>
      <c r="AE44" s="137"/>
      <c r="AF44" s="137"/>
      <c r="AG44" s="149"/>
      <c r="AH44" s="152"/>
      <c r="AK44" s="149"/>
      <c r="AL44" s="188"/>
      <c r="AM44" s="231"/>
      <c r="AN44" s="132"/>
      <c r="AO44" s="132"/>
      <c r="AP44" s="133"/>
      <c r="AQ44" s="158"/>
      <c r="AR44" s="158"/>
      <c r="AS44" s="158"/>
      <c r="AT44" s="158"/>
      <c r="AU44" s="158"/>
      <c r="AV44" s="158"/>
      <c r="AZ44" s="185"/>
    </row>
    <row r="45" spans="1:52" ht="12.75" customHeight="1">
      <c r="A45" s="250"/>
      <c r="B45" s="256" t="str">
        <f>Texte!A132</f>
        <v>Jungvieh, &lt; 160 Tage alt</v>
      </c>
      <c r="C45" s="257"/>
      <c r="D45" s="257"/>
      <c r="E45" s="257"/>
      <c r="F45" s="2" t="str">
        <f>IF($B45="","",VLOOKUP($B45,Daten!$B$8:$E$59,2,FALSE))</f>
        <v>1 Platz</v>
      </c>
      <c r="G45" s="98"/>
      <c r="H45" s="100"/>
      <c r="I45" s="100"/>
      <c r="J45" s="615">
        <f t="shared" si="1"/>
        <v>0</v>
      </c>
      <c r="K45" s="616">
        <f>IF($B45="","",VLOOKUP($B45,Daten!$B$8:$E$59,4,FALSE))</f>
        <v>6</v>
      </c>
      <c r="L45" s="619">
        <f t="shared" si="0"/>
      </c>
      <c r="M45" s="100"/>
      <c r="N45" s="100"/>
      <c r="O45" s="100"/>
      <c r="P45" s="717"/>
      <c r="Q45" s="719">
        <f>N45*O45</f>
        <v>0</v>
      </c>
      <c r="R45" s="619">
        <f t="shared" si="3"/>
      </c>
      <c r="S45" s="271"/>
      <c r="T45" s="48"/>
      <c r="U45" s="48"/>
      <c r="V45" s="134"/>
      <c r="W45" s="254"/>
      <c r="X45" s="200"/>
      <c r="Y45" s="201"/>
      <c r="Z45" s="201"/>
      <c r="AA45" s="135"/>
      <c r="AB45" s="255"/>
      <c r="AC45" s="136"/>
      <c r="AD45" s="137"/>
      <c r="AE45" s="137"/>
      <c r="AF45" s="137"/>
      <c r="AG45" s="149"/>
      <c r="AH45" s="152"/>
      <c r="AK45" s="149"/>
      <c r="AL45" s="188"/>
      <c r="AM45" s="231"/>
      <c r="AN45" s="132"/>
      <c r="AO45" s="132"/>
      <c r="AP45" s="133"/>
      <c r="AQ45" s="158"/>
      <c r="AR45" s="158"/>
      <c r="AS45" s="158"/>
      <c r="AT45" s="158"/>
      <c r="AU45" s="158"/>
      <c r="AV45" s="158"/>
      <c r="AZ45" s="185"/>
    </row>
    <row r="46" spans="1:47" ht="12.75" customHeight="1">
      <c r="A46" s="49"/>
      <c r="B46" s="256" t="str">
        <f>Texte!A133</f>
        <v>Jungvieh, 160-365 Tage alt</v>
      </c>
      <c r="C46" s="257"/>
      <c r="D46" s="257"/>
      <c r="E46" s="257"/>
      <c r="F46" s="2" t="str">
        <f>IF($B46="","",VLOOKUP($B46,Daten!$B$8:$E$59,2,FALSE))</f>
        <v>1 Platz</v>
      </c>
      <c r="G46" s="98"/>
      <c r="H46" s="100"/>
      <c r="I46" s="100"/>
      <c r="J46" s="615">
        <f t="shared" si="1"/>
        <v>0</v>
      </c>
      <c r="K46" s="616">
        <f>IF($B46="","",VLOOKUP($B46,Daten!$B$8:$E$59,4,FALSE))</f>
        <v>20.2</v>
      </c>
      <c r="L46" s="619">
        <f t="shared" si="0"/>
      </c>
      <c r="M46" s="100"/>
      <c r="N46" s="100"/>
      <c r="O46" s="100"/>
      <c r="P46" s="717"/>
      <c r="Q46" s="719">
        <f t="shared" si="2"/>
        <v>0</v>
      </c>
      <c r="R46" s="619">
        <f t="shared" si="3"/>
      </c>
      <c r="S46" s="271"/>
      <c r="T46" s="48"/>
      <c r="U46" s="48"/>
      <c r="V46" s="134"/>
      <c r="W46" s="254"/>
      <c r="X46" s="200"/>
      <c r="Y46" s="201"/>
      <c r="Z46" s="201"/>
      <c r="AA46" s="135"/>
      <c r="AB46" s="255"/>
      <c r="AC46" s="136"/>
      <c r="AD46" s="137"/>
      <c r="AE46" s="137"/>
      <c r="AF46" s="137"/>
      <c r="AG46" s="149"/>
      <c r="AH46" s="152"/>
      <c r="AK46" s="149"/>
      <c r="AL46" s="188"/>
      <c r="AM46" s="158"/>
      <c r="AN46" s="158"/>
      <c r="AO46" s="158"/>
      <c r="AP46" s="158"/>
      <c r="AQ46" s="158"/>
      <c r="AR46" s="158"/>
      <c r="AS46" s="158"/>
      <c r="AT46" s="158"/>
      <c r="AU46" s="158"/>
    </row>
    <row r="47" spans="1:48" ht="12.75" customHeight="1">
      <c r="A47" s="49"/>
      <c r="B47" s="256" t="str">
        <f>Texte!A134</f>
        <v>Jungvieh, 1 bis 2-jährig</v>
      </c>
      <c r="C47" s="257"/>
      <c r="D47" s="257"/>
      <c r="E47" s="257"/>
      <c r="F47" s="2" t="str">
        <f>IF($B47="","",VLOOKUP($B47,Daten!$B$8:$E$59,2,FALSE))</f>
        <v>1 Platz</v>
      </c>
      <c r="G47" s="98"/>
      <c r="H47" s="100"/>
      <c r="I47" s="100"/>
      <c r="J47" s="615">
        <f t="shared" si="1"/>
        <v>0</v>
      </c>
      <c r="K47" s="616">
        <f>IF($B47="","",VLOOKUP($B47,Daten!$B$8:$E$59,4,FALSE))</f>
        <v>26</v>
      </c>
      <c r="L47" s="619">
        <f t="shared" si="0"/>
      </c>
      <c r="M47" s="100"/>
      <c r="N47" s="100"/>
      <c r="O47" s="100"/>
      <c r="P47" s="717"/>
      <c r="Q47" s="719">
        <f t="shared" si="2"/>
        <v>0</v>
      </c>
      <c r="R47" s="619">
        <f t="shared" si="3"/>
      </c>
      <c r="S47" s="271"/>
      <c r="T47" s="48"/>
      <c r="U47" s="48"/>
      <c r="V47" s="134"/>
      <c r="W47" s="254"/>
      <c r="X47" s="200"/>
      <c r="Y47" s="201"/>
      <c r="Z47" s="201"/>
      <c r="AA47" s="135"/>
      <c r="AB47" s="255"/>
      <c r="AC47" s="136"/>
      <c r="AD47" s="137"/>
      <c r="AE47" s="137"/>
      <c r="AF47" s="137"/>
      <c r="AG47" s="149"/>
      <c r="AH47" s="152"/>
      <c r="AK47" s="149"/>
      <c r="AL47" s="18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</row>
    <row r="48" spans="1:48" ht="12.75" customHeight="1">
      <c r="A48" s="49"/>
      <c r="B48" s="256" t="str">
        <f>Texte!A135</f>
        <v>Rinder &gt;2-jährig</v>
      </c>
      <c r="C48" s="257"/>
      <c r="D48" s="257"/>
      <c r="E48" s="257"/>
      <c r="F48" s="2" t="str">
        <f>IF($B48="","",VLOOKUP($B48,Daten!$B$8:$E$59,2,FALSE))</f>
        <v>1 Platz</v>
      </c>
      <c r="G48" s="98"/>
      <c r="H48" s="100"/>
      <c r="I48" s="100"/>
      <c r="J48" s="615">
        <f>IF(I48&gt;365,"!",G48+(H48*I48/365))</f>
        <v>0</v>
      </c>
      <c r="K48" s="616">
        <f>IF($B48="","",VLOOKUP($B48,Daten!$B$8:$E$59,4,FALSE))</f>
        <v>33</v>
      </c>
      <c r="L48" s="619">
        <f t="shared" si="0"/>
      </c>
      <c r="M48" s="100"/>
      <c r="N48" s="100"/>
      <c r="O48" s="100"/>
      <c r="P48" s="717"/>
      <c r="Q48" s="719">
        <f t="shared" si="2"/>
        <v>0</v>
      </c>
      <c r="R48" s="619">
        <f t="shared" si="3"/>
      </c>
      <c r="S48" s="271"/>
      <c r="T48" s="48"/>
      <c r="U48" s="48"/>
      <c r="V48" s="134"/>
      <c r="W48" s="254"/>
      <c r="X48" s="181"/>
      <c r="AA48" s="135"/>
      <c r="AB48" s="255"/>
      <c r="AC48" s="136"/>
      <c r="AD48" s="137"/>
      <c r="AE48" s="137"/>
      <c r="AF48" s="137"/>
      <c r="AG48" s="149"/>
      <c r="AH48" s="152"/>
      <c r="AK48" s="149"/>
      <c r="AL48" s="188"/>
      <c r="AM48" s="214"/>
      <c r="AN48" s="158"/>
      <c r="AO48" s="158"/>
      <c r="AP48" s="215"/>
      <c r="AQ48" s="158"/>
      <c r="AR48" s="158"/>
      <c r="AS48" s="158"/>
      <c r="AT48" s="158"/>
      <c r="AU48" s="158"/>
      <c r="AV48" s="158"/>
    </row>
    <row r="49" spans="1:48" ht="12.75" customHeight="1">
      <c r="A49" s="49"/>
      <c r="B49" s="256" t="str">
        <f>Texte!A144</f>
        <v>Zuchtstier</v>
      </c>
      <c r="C49" s="257"/>
      <c r="D49" s="257"/>
      <c r="E49" s="257"/>
      <c r="F49" s="2" t="str">
        <f>IF($B49="","",VLOOKUP($B49,Daten!$B$8:$E$59,2,FALSE))</f>
        <v>1 Stück</v>
      </c>
      <c r="G49" s="98"/>
      <c r="H49" s="100"/>
      <c r="I49" s="100"/>
      <c r="J49" s="615">
        <f t="shared" si="1"/>
        <v>0</v>
      </c>
      <c r="K49" s="616">
        <f>IF($B49="","",VLOOKUP($B49,Daten!$B$8:$E$59,4,FALSE))</f>
        <v>30</v>
      </c>
      <c r="L49" s="619">
        <f t="shared" si="0"/>
      </c>
      <c r="M49" s="100"/>
      <c r="N49" s="100"/>
      <c r="O49" s="100"/>
      <c r="P49" s="717"/>
      <c r="Q49" s="719">
        <f t="shared" si="2"/>
        <v>0</v>
      </c>
      <c r="R49" s="619">
        <f t="shared" si="3"/>
      </c>
      <c r="S49" s="271"/>
      <c r="T49" s="48"/>
      <c r="U49" s="48"/>
      <c r="V49" s="134"/>
      <c r="AA49" s="135"/>
      <c r="AB49" s="255"/>
      <c r="AC49" s="136"/>
      <c r="AD49" s="137"/>
      <c r="AE49" s="137"/>
      <c r="AF49" s="137"/>
      <c r="AG49" s="149"/>
      <c r="AH49" s="152"/>
      <c r="AK49" s="149"/>
      <c r="AL49" s="188"/>
      <c r="AM49" s="727"/>
      <c r="AN49" s="728"/>
      <c r="AO49" s="728"/>
      <c r="AP49" s="729"/>
      <c r="AQ49" s="158"/>
      <c r="AR49" s="158"/>
      <c r="AS49" s="158"/>
      <c r="AT49" s="158"/>
      <c r="AU49" s="158"/>
      <c r="AV49" s="158"/>
    </row>
    <row r="50" spans="1:47" ht="12.75" customHeight="1">
      <c r="A50" s="49"/>
      <c r="B50" s="259" t="str">
        <f>Texte!A136</f>
        <v>Mastkälber (50-200 kg)</v>
      </c>
      <c r="C50" s="257"/>
      <c r="D50" s="257"/>
      <c r="E50" s="257"/>
      <c r="F50" s="2" t="str">
        <f>IF($B50="","",VLOOKUP($B50,Daten!$B$8:$E$59,2,FALSE))</f>
        <v>1 Platz</v>
      </c>
      <c r="G50" s="98"/>
      <c r="H50" s="100"/>
      <c r="I50" s="100"/>
      <c r="J50" s="615">
        <f t="shared" si="1"/>
        <v>0</v>
      </c>
      <c r="K50" s="616">
        <f>IF($B50="","",VLOOKUP($B50,Daten!$B$8:$E$59,4,FALSE))</f>
        <v>1</v>
      </c>
      <c r="L50" s="619">
        <f t="shared" si="0"/>
      </c>
      <c r="M50" s="100"/>
      <c r="N50" s="100"/>
      <c r="O50" s="100"/>
      <c r="P50" s="717"/>
      <c r="Q50" s="719">
        <f t="shared" si="2"/>
        <v>0</v>
      </c>
      <c r="R50" s="619">
        <f t="shared" si="3"/>
      </c>
      <c r="S50" s="271"/>
      <c r="T50" s="48"/>
      <c r="U50" s="48"/>
      <c r="V50" s="134"/>
      <c r="Y50" s="135"/>
      <c r="Z50" s="448"/>
      <c r="AA50" s="135"/>
      <c r="AB50" s="255"/>
      <c r="AC50" s="136"/>
      <c r="AD50" s="137"/>
      <c r="AE50" s="137"/>
      <c r="AF50" s="137"/>
      <c r="AG50" s="149"/>
      <c r="AH50" s="152"/>
      <c r="AK50" s="149"/>
      <c r="AL50" s="188"/>
      <c r="AM50" s="158"/>
      <c r="AN50" s="158"/>
      <c r="AO50" s="158"/>
      <c r="AP50" s="158"/>
      <c r="AQ50" s="158"/>
      <c r="AR50" s="158"/>
      <c r="AS50" s="158"/>
      <c r="AT50" s="158"/>
      <c r="AU50" s="158"/>
    </row>
    <row r="51" spans="1:47" ht="12.75" customHeight="1">
      <c r="A51" s="49"/>
      <c r="B51" s="259" t="str">
        <f>Texte!A131</f>
        <v>Mutterkühe leicht (LG&lt;600 kg)</v>
      </c>
      <c r="C51" s="257"/>
      <c r="D51" s="257"/>
      <c r="E51" s="257"/>
      <c r="F51" s="2" t="str">
        <f>IF($B51="","",VLOOKUP($B51,Daten!$B$8:$E$59,2,FALSE))</f>
        <v>1 Stück</v>
      </c>
      <c r="G51" s="98"/>
      <c r="H51" s="100"/>
      <c r="I51" s="100"/>
      <c r="J51" s="615">
        <f t="shared" si="1"/>
        <v>0</v>
      </c>
      <c r="K51" s="616">
        <f>IF($B51="","",VLOOKUP($B51,Daten!$B$8:$E$59,4,FALSE))</f>
        <v>38</v>
      </c>
      <c r="L51" s="619">
        <f t="shared" si="0"/>
      </c>
      <c r="M51" s="100"/>
      <c r="N51" s="100"/>
      <c r="O51" s="100"/>
      <c r="P51" s="717"/>
      <c r="Q51" s="719">
        <f t="shared" si="2"/>
        <v>0</v>
      </c>
      <c r="R51" s="619">
        <f t="shared" si="3"/>
      </c>
      <c r="S51" s="271"/>
      <c r="T51" s="48"/>
      <c r="U51" s="48"/>
      <c r="V51" s="134"/>
      <c r="AA51" s="135"/>
      <c r="AB51" s="255"/>
      <c r="AC51" s="136"/>
      <c r="AD51" s="137"/>
      <c r="AE51" s="137"/>
      <c r="AF51" s="137"/>
      <c r="AG51" s="149"/>
      <c r="AH51" s="152"/>
      <c r="AK51" s="149"/>
      <c r="AL51" s="188"/>
      <c r="AM51" s="158"/>
      <c r="AN51" s="158"/>
      <c r="AO51" s="158"/>
      <c r="AP51" s="158"/>
      <c r="AQ51" s="158"/>
      <c r="AR51" s="158"/>
      <c r="AS51" s="158"/>
      <c r="AT51" s="158"/>
      <c r="AU51" s="158"/>
    </row>
    <row r="52" spans="1:48" ht="12.75" customHeight="1">
      <c r="A52" s="49"/>
      <c r="B52" s="259" t="str">
        <f>Texte!A130</f>
        <v>Mutterkühe mittel (LG 600-700 kg)</v>
      </c>
      <c r="C52" s="257"/>
      <c r="D52" s="257"/>
      <c r="E52" s="257"/>
      <c r="F52" s="2" t="str">
        <f>IF($B52="","",VLOOKUP($B52,Daten!$B$8:$E$59,2,FALSE))</f>
        <v>1 Stück</v>
      </c>
      <c r="G52" s="98"/>
      <c r="H52" s="100"/>
      <c r="I52" s="100"/>
      <c r="J52" s="615">
        <f t="shared" si="1"/>
        <v>0</v>
      </c>
      <c r="K52" s="616">
        <f>IF($B52="","",VLOOKUP($B52,Daten!$B$8:$E$59,4,FALSE))</f>
        <v>45</v>
      </c>
      <c r="L52" s="619">
        <f t="shared" si="0"/>
      </c>
      <c r="M52" s="100"/>
      <c r="N52" s="100"/>
      <c r="O52" s="100"/>
      <c r="P52" s="717"/>
      <c r="Q52" s="719">
        <f t="shared" si="2"/>
        <v>0</v>
      </c>
      <c r="R52" s="619">
        <f t="shared" si="3"/>
      </c>
      <c r="S52" s="271"/>
      <c r="T52" s="48"/>
      <c r="U52" s="48"/>
      <c r="AA52" s="135"/>
      <c r="AB52" s="255"/>
      <c r="AC52" s="136"/>
      <c r="AD52" s="137"/>
      <c r="AE52" s="137"/>
      <c r="AF52" s="137"/>
      <c r="AG52" s="149"/>
      <c r="AH52" s="152"/>
      <c r="AK52" s="149"/>
      <c r="AL52" s="18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</row>
    <row r="53" spans="1:48" ht="12.75" customHeight="1">
      <c r="A53" s="49"/>
      <c r="B53" s="259" t="str">
        <f>Texte!A137</f>
        <v>Mutterkuhkälber leicht, ca 350 kg</v>
      </c>
      <c r="C53" s="257"/>
      <c r="D53" s="257"/>
      <c r="E53" s="257"/>
      <c r="F53" s="2" t="str">
        <f>IF($B53="","",VLOOKUP($B53,Daten!$B$8:$E$59,2,FALSE))</f>
        <v>1 Platz</v>
      </c>
      <c r="G53" s="98"/>
      <c r="H53" s="100"/>
      <c r="I53" s="100"/>
      <c r="J53" s="615">
        <f t="shared" si="1"/>
        <v>0</v>
      </c>
      <c r="K53" s="616">
        <f>IF($B53="","",VLOOKUP($B53,Daten!$B$8:$E$59,4,FALSE))</f>
        <v>13.2</v>
      </c>
      <c r="L53" s="619">
        <f t="shared" si="0"/>
      </c>
      <c r="M53" s="100"/>
      <c r="N53" s="100"/>
      <c r="O53" s="100"/>
      <c r="P53" s="717"/>
      <c r="Q53" s="719">
        <f t="shared" si="2"/>
        <v>0</v>
      </c>
      <c r="R53" s="619">
        <f t="shared" si="3"/>
      </c>
      <c r="S53" s="271"/>
      <c r="T53" s="48"/>
      <c r="U53" s="48"/>
      <c r="Y53" s="135"/>
      <c r="Z53" s="260"/>
      <c r="AA53" s="135"/>
      <c r="AB53" s="255"/>
      <c r="AC53" s="136"/>
      <c r="AD53" s="137"/>
      <c r="AE53" s="137"/>
      <c r="AF53" s="137"/>
      <c r="AG53" s="149"/>
      <c r="AH53" s="152"/>
      <c r="AK53" s="149"/>
      <c r="AL53" s="188"/>
      <c r="AM53" s="214"/>
      <c r="AN53" s="158"/>
      <c r="AO53" s="158"/>
      <c r="AP53" s="215"/>
      <c r="AQ53" s="158"/>
      <c r="AR53" s="158"/>
      <c r="AS53" s="158"/>
      <c r="AT53" s="158"/>
      <c r="AU53" s="158"/>
      <c r="AV53" s="158"/>
    </row>
    <row r="54" spans="1:48" ht="12.75" customHeight="1">
      <c r="A54" s="49"/>
      <c r="B54" s="259" t="str">
        <f>Texte!A129</f>
        <v>Mutterkühe schwer (LG 700-800 kg)</v>
      </c>
      <c r="C54" s="257"/>
      <c r="D54" s="257"/>
      <c r="E54" s="257"/>
      <c r="F54" s="2" t="str">
        <f>IF($B54="","",VLOOKUP($B54,Daten!$B$8:$E$59,2,FALSE))</f>
        <v>1 Stück</v>
      </c>
      <c r="G54" s="98"/>
      <c r="H54" s="100"/>
      <c r="I54" s="100"/>
      <c r="J54" s="615">
        <f t="shared" si="1"/>
        <v>0</v>
      </c>
      <c r="K54" s="616">
        <f>IF($B54="","",VLOOKUP($B54,Daten!$B$8:$E$59,4,FALSE))</f>
        <v>50</v>
      </c>
      <c r="L54" s="619">
        <f t="shared" si="0"/>
      </c>
      <c r="M54" s="100"/>
      <c r="N54" s="100"/>
      <c r="O54" s="100"/>
      <c r="P54" s="717"/>
      <c r="Q54" s="719">
        <f t="shared" si="2"/>
        <v>0</v>
      </c>
      <c r="R54" s="619">
        <f t="shared" si="3"/>
      </c>
      <c r="S54" s="271"/>
      <c r="T54" s="48"/>
      <c r="U54" s="48"/>
      <c r="Y54" s="135"/>
      <c r="Z54" s="448"/>
      <c r="AA54" s="135"/>
      <c r="AB54" s="255"/>
      <c r="AC54" s="136"/>
      <c r="AD54" s="137"/>
      <c r="AE54" s="137"/>
      <c r="AF54" s="137"/>
      <c r="AG54" s="149"/>
      <c r="AH54" s="152"/>
      <c r="AK54" s="149"/>
      <c r="AL54" s="188"/>
      <c r="AM54" s="727"/>
      <c r="AN54" s="728"/>
      <c r="AO54" s="728"/>
      <c r="AP54" s="729"/>
      <c r="AQ54" s="158"/>
      <c r="AR54" s="158"/>
      <c r="AS54" s="158"/>
      <c r="AT54" s="158"/>
      <c r="AU54" s="158"/>
      <c r="AV54" s="158"/>
    </row>
    <row r="55" spans="1:47" ht="12.75" customHeight="1">
      <c r="A55" s="49"/>
      <c r="B55" s="259" t="str">
        <f>Texte!A138</f>
        <v>Mutterkuhkälber schwer, ca 400 kg</v>
      </c>
      <c r="C55" s="257"/>
      <c r="D55" s="257"/>
      <c r="E55" s="257"/>
      <c r="F55" s="2" t="str">
        <f>IF($B55="","",VLOOKUP($B55,Daten!$B$8:$E$59,2,FALSE))</f>
        <v>1 Platz</v>
      </c>
      <c r="G55" s="98"/>
      <c r="H55" s="100"/>
      <c r="I55" s="100"/>
      <c r="J55" s="615">
        <f t="shared" si="1"/>
        <v>0</v>
      </c>
      <c r="K55" s="616">
        <f>IF($B55="","",VLOOKUP($B55,Daten!$B$8:$E$59,4,FALSE))</f>
        <v>19.2</v>
      </c>
      <c r="L55" s="619">
        <f t="shared" si="0"/>
      </c>
      <c r="M55" s="100"/>
      <c r="N55" s="100"/>
      <c r="O55" s="100"/>
      <c r="P55" s="717"/>
      <c r="Q55" s="719">
        <f t="shared" si="2"/>
        <v>0</v>
      </c>
      <c r="R55" s="619">
        <f t="shared" si="3"/>
      </c>
      <c r="S55" s="271"/>
      <c r="T55" s="48"/>
      <c r="U55" s="48"/>
      <c r="Y55" s="135"/>
      <c r="Z55" s="448"/>
      <c r="AA55" s="135"/>
      <c r="AB55" s="255"/>
      <c r="AC55" s="136"/>
      <c r="AD55" s="137"/>
      <c r="AE55" s="137"/>
      <c r="AF55" s="137"/>
      <c r="AG55" s="149"/>
      <c r="AH55" s="152"/>
      <c r="AK55" s="149"/>
      <c r="AL55" s="188"/>
      <c r="AM55" s="158"/>
      <c r="AN55" s="158"/>
      <c r="AO55" s="158"/>
      <c r="AP55" s="158"/>
      <c r="AQ55" s="158"/>
      <c r="AR55" s="158"/>
      <c r="AS55" s="158"/>
      <c r="AT55" s="158"/>
      <c r="AU55" s="158"/>
    </row>
    <row r="56" spans="1:48" ht="12.75" customHeight="1">
      <c r="A56" s="49"/>
      <c r="B56" s="259" t="str">
        <f>Texte!A139</f>
        <v>Rindviehmast intensiv, 65-520 kg</v>
      </c>
      <c r="C56" s="257"/>
      <c r="D56" s="257"/>
      <c r="E56" s="257"/>
      <c r="F56" s="2" t="str">
        <f>IF($B56="","",VLOOKUP($B56,Daten!$B$8:$E$59,2,FALSE))</f>
        <v>1 Platz</v>
      </c>
      <c r="G56" s="98"/>
      <c r="H56" s="100"/>
      <c r="I56" s="100"/>
      <c r="J56" s="615">
        <f t="shared" si="1"/>
        <v>0</v>
      </c>
      <c r="K56" s="616">
        <f>IF($B56="","",VLOOKUP($B56,Daten!$B$8:$E$59,4,FALSE))</f>
        <v>14</v>
      </c>
      <c r="L56" s="619">
        <f t="shared" si="0"/>
      </c>
      <c r="M56" s="100"/>
      <c r="N56" s="100"/>
      <c r="O56" s="100"/>
      <c r="P56" s="717"/>
      <c r="Q56" s="719">
        <f t="shared" si="2"/>
        <v>0</v>
      </c>
      <c r="R56" s="619">
        <f t="shared" si="3"/>
      </c>
      <c r="S56" s="271"/>
      <c r="T56" s="48"/>
      <c r="U56" s="48"/>
      <c r="Y56" s="135"/>
      <c r="Z56" s="199"/>
      <c r="AA56" s="135"/>
      <c r="AB56" s="255"/>
      <c r="AC56" s="136"/>
      <c r="AD56" s="137"/>
      <c r="AE56" s="137"/>
      <c r="AF56" s="137"/>
      <c r="AG56" s="149"/>
      <c r="AH56" s="152"/>
      <c r="AK56" s="149"/>
      <c r="AL56" s="18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</row>
    <row r="57" spans="1:48" ht="12.75" customHeight="1">
      <c r="A57" s="262"/>
      <c r="B57" s="734"/>
      <c r="C57" s="735"/>
      <c r="D57" s="735"/>
      <c r="E57" s="735"/>
      <c r="F57" s="2">
        <f>IF($B57="","",VLOOKUP($B57,Daten!$B$8:$E$59,2,FALSE))</f>
      </c>
      <c r="G57" s="98"/>
      <c r="H57" s="100"/>
      <c r="I57" s="100"/>
      <c r="J57" s="615">
        <f t="shared" si="1"/>
        <v>0</v>
      </c>
      <c r="K57" s="616">
        <f>IF($B57="","",VLOOKUP($B57,Daten!$B$8:$E$59,4,FALSE))</f>
      </c>
      <c r="L57" s="619">
        <f t="shared" si="0"/>
      </c>
      <c r="M57" s="100"/>
      <c r="N57" s="100"/>
      <c r="O57" s="100"/>
      <c r="P57" s="717"/>
      <c r="Q57" s="719">
        <f t="shared" si="2"/>
        <v>0</v>
      </c>
      <c r="R57" s="619">
        <f t="shared" si="3"/>
      </c>
      <c r="S57" s="271"/>
      <c r="T57" s="48"/>
      <c r="U57" s="48"/>
      <c r="Y57" s="135"/>
      <c r="Z57" s="448"/>
      <c r="AA57" s="135"/>
      <c r="AB57" s="255"/>
      <c r="AC57" s="136"/>
      <c r="AD57" s="137"/>
      <c r="AE57" s="137"/>
      <c r="AF57" s="137"/>
      <c r="AG57" s="149"/>
      <c r="AH57" s="152"/>
      <c r="AK57" s="149"/>
      <c r="AL57" s="188"/>
      <c r="AM57" s="727"/>
      <c r="AN57" s="728"/>
      <c r="AO57" s="728"/>
      <c r="AP57" s="729"/>
      <c r="AQ57" s="158"/>
      <c r="AR57" s="158"/>
      <c r="AS57" s="158"/>
      <c r="AT57" s="158"/>
      <c r="AU57" s="158"/>
      <c r="AV57" s="158"/>
    </row>
    <row r="58" spans="1:47" ht="12.75" customHeight="1">
      <c r="A58" s="262"/>
      <c r="B58" s="734"/>
      <c r="C58" s="735"/>
      <c r="D58" s="735"/>
      <c r="E58" s="735"/>
      <c r="F58" s="2">
        <f>IF($B58="","",VLOOKUP($B58,Daten!$B$8:$E$59,2,FALSE))</f>
      </c>
      <c r="G58" s="98"/>
      <c r="H58" s="100"/>
      <c r="I58" s="100"/>
      <c r="J58" s="615">
        <f t="shared" si="1"/>
        <v>0</v>
      </c>
      <c r="K58" s="616">
        <f>IF($B58="","",VLOOKUP($B58,Daten!$B$8:$E$59,4,FALSE))</f>
      </c>
      <c r="L58" s="619">
        <f t="shared" si="0"/>
      </c>
      <c r="M58" s="100"/>
      <c r="N58" s="100"/>
      <c r="O58" s="100"/>
      <c r="P58" s="717"/>
      <c r="Q58" s="719">
        <f t="shared" si="2"/>
        <v>0</v>
      </c>
      <c r="R58" s="619">
        <f t="shared" si="3"/>
      </c>
      <c r="S58" s="271"/>
      <c r="T58" s="48"/>
      <c r="U58" s="48"/>
      <c r="Y58" s="254"/>
      <c r="Z58" s="448"/>
      <c r="AA58" s="135"/>
      <c r="AB58" s="255"/>
      <c r="AC58" s="136"/>
      <c r="AD58" s="137"/>
      <c r="AE58" s="137"/>
      <c r="AF58" s="137"/>
      <c r="AG58" s="149"/>
      <c r="AH58" s="152"/>
      <c r="AK58" s="149"/>
      <c r="AL58" s="188"/>
      <c r="AM58" s="158"/>
      <c r="AN58" s="158"/>
      <c r="AO58" s="158"/>
      <c r="AP58" s="158"/>
      <c r="AQ58" s="158"/>
      <c r="AR58" s="158"/>
      <c r="AS58" s="158"/>
      <c r="AT58" s="158"/>
      <c r="AU58" s="158"/>
    </row>
    <row r="59" spans="1:48" ht="12.75" customHeight="1">
      <c r="A59" s="262"/>
      <c r="B59" s="734"/>
      <c r="C59" s="735"/>
      <c r="D59" s="735"/>
      <c r="E59" s="735"/>
      <c r="F59" s="2">
        <f>IF($B59="","",VLOOKUP($B59,Daten!$B$8:$E$59,2,FALSE))</f>
      </c>
      <c r="G59" s="98"/>
      <c r="H59" s="100"/>
      <c r="I59" s="100"/>
      <c r="J59" s="615">
        <f t="shared" si="1"/>
        <v>0</v>
      </c>
      <c r="K59" s="616">
        <f>IF($B59="","",VLOOKUP($B59,Daten!$B$8:$E$59,4,FALSE))</f>
      </c>
      <c r="L59" s="619">
        <f t="shared" si="0"/>
      </c>
      <c r="M59" s="100"/>
      <c r="N59" s="100"/>
      <c r="O59" s="100"/>
      <c r="P59" s="717"/>
      <c r="Q59" s="719">
        <f t="shared" si="2"/>
        <v>0</v>
      </c>
      <c r="R59" s="619">
        <f t="shared" si="3"/>
      </c>
      <c r="S59" s="271"/>
      <c r="T59" s="48"/>
      <c r="U59" s="48"/>
      <c r="W59" s="254"/>
      <c r="X59" s="200"/>
      <c r="Y59" s="201"/>
      <c r="Z59" s="201"/>
      <c r="AA59" s="135"/>
      <c r="AB59" s="255"/>
      <c r="AC59" s="136"/>
      <c r="AD59" s="137"/>
      <c r="AE59" s="137"/>
      <c r="AF59" s="137"/>
      <c r="AG59" s="149"/>
      <c r="AH59" s="152"/>
      <c r="AK59" s="149"/>
      <c r="AL59" s="18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</row>
    <row r="60" spans="1:48" ht="12.75" customHeight="1">
      <c r="A60" s="262"/>
      <c r="B60" s="734"/>
      <c r="C60" s="735"/>
      <c r="D60" s="735"/>
      <c r="E60" s="735"/>
      <c r="F60" s="2">
        <f>IF($B60="","",VLOOKUP($B60,Daten!$B$8:$E$59,2,FALSE))</f>
      </c>
      <c r="G60" s="98"/>
      <c r="H60" s="100"/>
      <c r="I60" s="100"/>
      <c r="J60" s="615">
        <f>IF(OR(AND(H60&lt;0,G60&lt;ABS(H60)),I60&gt;365),"!",G60+(H60*I60/365))</f>
        <v>0</v>
      </c>
      <c r="K60" s="616">
        <f>IF($B60="","",VLOOKUP($B60,Daten!$B$8:$E$59,4,FALSE))</f>
      </c>
      <c r="L60" s="619">
        <f t="shared" si="0"/>
      </c>
      <c r="M60" s="100"/>
      <c r="N60" s="100"/>
      <c r="O60" s="100"/>
      <c r="P60" s="718"/>
      <c r="Q60" s="719">
        <f t="shared" si="2"/>
        <v>0</v>
      </c>
      <c r="R60" s="619">
        <f t="shared" si="3"/>
      </c>
      <c r="S60" s="271"/>
      <c r="T60" s="425"/>
      <c r="U60" s="48"/>
      <c r="V60" s="134"/>
      <c r="AA60" s="135"/>
      <c r="AB60" s="255"/>
      <c r="AC60" s="136"/>
      <c r="AD60" s="137"/>
      <c r="AE60" s="137"/>
      <c r="AF60" s="137"/>
      <c r="AG60" s="149"/>
      <c r="AH60" s="152"/>
      <c r="AK60" s="149"/>
      <c r="AL60" s="158"/>
      <c r="AM60" s="214"/>
      <c r="AN60" s="158"/>
      <c r="AO60" s="158"/>
      <c r="AP60" s="215"/>
      <c r="AQ60" s="158"/>
      <c r="AR60" s="158"/>
      <c r="AS60" s="158"/>
      <c r="AT60" s="158"/>
      <c r="AU60" s="158"/>
      <c r="AV60" s="158"/>
    </row>
    <row r="61" spans="1:48" ht="12.75" customHeight="1">
      <c r="A61" s="262"/>
      <c r="B61" s="263" t="str">
        <f>Texte!A146</f>
        <v>weitere Raufutterverzehrende Tiere</v>
      </c>
      <c r="C61" s="264"/>
      <c r="D61" s="264"/>
      <c r="E61" s="264"/>
      <c r="F61" s="68"/>
      <c r="G61" s="69"/>
      <c r="H61" s="70"/>
      <c r="I61" s="70"/>
      <c r="J61" s="265"/>
      <c r="K61" s="71"/>
      <c r="L61" s="266"/>
      <c r="M61" s="72"/>
      <c r="N61" s="70"/>
      <c r="O61" s="266"/>
      <c r="P61" s="266"/>
      <c r="Q61" s="266"/>
      <c r="R61" s="266"/>
      <c r="S61" s="72"/>
      <c r="T61" s="426"/>
      <c r="U61" s="48"/>
      <c r="V61" s="134"/>
      <c r="AA61" s="135"/>
      <c r="AB61" s="255"/>
      <c r="AC61" s="136"/>
      <c r="AD61" s="137"/>
      <c r="AE61" s="137"/>
      <c r="AF61" s="137"/>
      <c r="AG61" s="149"/>
      <c r="AH61" s="152"/>
      <c r="AK61" s="149"/>
      <c r="AL61" s="158"/>
      <c r="AM61" s="214"/>
      <c r="AN61" s="158"/>
      <c r="AO61" s="158"/>
      <c r="AP61" s="215"/>
      <c r="AQ61" s="158"/>
      <c r="AR61" s="158"/>
      <c r="AS61" s="158"/>
      <c r="AT61" s="158"/>
      <c r="AU61" s="158"/>
      <c r="AV61" s="158"/>
    </row>
    <row r="62" spans="1:48" ht="12.75" customHeight="1">
      <c r="A62" s="49"/>
      <c r="B62" s="732" t="str">
        <f>Texte!A154</f>
        <v>Milchschafe (inkl.Jungtiere)</v>
      </c>
      <c r="C62" s="733"/>
      <c r="D62" s="733"/>
      <c r="E62" s="733"/>
      <c r="F62" s="2" t="str">
        <f>IF($B62="","",VLOOKUP($B62,Daten!$B$8:$E$59,2,FALSE))</f>
        <v>1 Platz</v>
      </c>
      <c r="G62" s="98"/>
      <c r="H62" s="100"/>
      <c r="I62" s="100"/>
      <c r="J62" s="615">
        <f>IF(OR(AND(H62&lt;0,G62&lt;ABS(H62)),I62&gt;365),"!",G62+(H62*I62/365))</f>
        <v>0</v>
      </c>
      <c r="K62" s="616">
        <f>IF($B62="","",VLOOKUP($B62,Daten!$B$8:$E$59,4,FALSE))</f>
        <v>9</v>
      </c>
      <c r="L62" s="619">
        <f aca="true" t="shared" si="4" ref="L62:L67">IF(J62&gt;0,J62*K62,"")</f>
      </c>
      <c r="M62" s="100"/>
      <c r="N62" s="100"/>
      <c r="O62" s="100"/>
      <c r="P62" s="721"/>
      <c r="Q62" s="719">
        <f t="shared" si="2"/>
        <v>0</v>
      </c>
      <c r="R62" s="619">
        <f aca="true" t="shared" si="5" ref="R62:R67">IF($N62=0,"",$K62*$Q62/365)</f>
      </c>
      <c r="S62" s="100"/>
      <c r="T62" s="554">
        <f>IF(S62=0,"",IF(S62&gt;N62*O62*AC33/100,Texte!A185,""))</f>
      </c>
      <c r="U62" s="48"/>
      <c r="V62" s="134"/>
      <c r="W62" s="254"/>
      <c r="X62" s="181"/>
      <c r="Y62" s="261"/>
      <c r="Z62" s="261"/>
      <c r="AA62" s="135"/>
      <c r="AB62" s="255"/>
      <c r="AC62" s="136"/>
      <c r="AD62" s="137"/>
      <c r="AE62" s="137"/>
      <c r="AF62" s="137"/>
      <c r="AG62" s="149"/>
      <c r="AH62" s="152"/>
      <c r="AK62" s="149"/>
      <c r="AL62" s="158"/>
      <c r="AM62" s="727"/>
      <c r="AN62" s="728"/>
      <c r="AO62" s="728"/>
      <c r="AP62" s="729"/>
      <c r="AQ62" s="158"/>
      <c r="AR62" s="158"/>
      <c r="AS62" s="158"/>
      <c r="AT62" s="158"/>
      <c r="AU62" s="158"/>
      <c r="AV62" s="158"/>
    </row>
    <row r="63" spans="1:47" ht="12.75" customHeight="1">
      <c r="A63" s="49"/>
      <c r="B63" s="740" t="str">
        <f>Texte!A152</f>
        <v>Ziegenplatz (inkl. Juntiere und Anteil Bock)</v>
      </c>
      <c r="C63" s="741"/>
      <c r="D63" s="741"/>
      <c r="E63" s="741"/>
      <c r="F63" s="2" t="str">
        <f>IF($B63="","",VLOOKUP($B63,Daten!$B$8:$E$59,2,FALSE))</f>
        <v>1 Platz</v>
      </c>
      <c r="G63" s="98"/>
      <c r="H63" s="100"/>
      <c r="I63" s="100"/>
      <c r="J63" s="615">
        <f t="shared" si="1"/>
        <v>0</v>
      </c>
      <c r="K63" s="616">
        <f>IF($B63="","",VLOOKUP($B63,Daten!$B$8:$E$59,4,FALSE))</f>
        <v>7.5</v>
      </c>
      <c r="L63" s="619">
        <f t="shared" si="4"/>
      </c>
      <c r="M63" s="100"/>
      <c r="N63" s="100"/>
      <c r="O63" s="100"/>
      <c r="P63" s="722"/>
      <c r="Q63" s="719">
        <f t="shared" si="2"/>
        <v>0</v>
      </c>
      <c r="R63" s="619">
        <f t="shared" si="5"/>
      </c>
      <c r="S63" s="100"/>
      <c r="T63" s="554">
        <f>IF(S63=0,"",IF(S63&gt;N63*O63*AC34/100,Texte!A185,""))</f>
      </c>
      <c r="U63" s="48"/>
      <c r="V63" s="138"/>
      <c r="W63" s="138"/>
      <c r="X63" s="181"/>
      <c r="Y63" s="138"/>
      <c r="Z63" s="138"/>
      <c r="AA63" s="135"/>
      <c r="AB63" s="255"/>
      <c r="AC63" s="136"/>
      <c r="AD63" s="137"/>
      <c r="AE63" s="137"/>
      <c r="AF63" s="137"/>
      <c r="AG63" s="139"/>
      <c r="AH63" s="267"/>
      <c r="AI63" s="160"/>
      <c r="AJ63" s="160"/>
      <c r="AK63" s="160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</row>
    <row r="64" spans="1:48" ht="12.75" customHeight="1">
      <c r="A64" s="49"/>
      <c r="B64" s="734"/>
      <c r="C64" s="735"/>
      <c r="D64" s="735"/>
      <c r="E64" s="735"/>
      <c r="F64" s="2">
        <f>IF($B64="","",VLOOKUP($B64,Daten!$B$8:$E$59,2,FALSE))</f>
      </c>
      <c r="G64" s="98"/>
      <c r="H64" s="100"/>
      <c r="I64" s="100"/>
      <c r="J64" s="615">
        <f t="shared" si="1"/>
        <v>0</v>
      </c>
      <c r="K64" s="616">
        <f>IF($B64="","",VLOOKUP($B64,Daten!$B$8:$E$59,4,FALSE))</f>
      </c>
      <c r="L64" s="619">
        <f t="shared" si="4"/>
      </c>
      <c r="M64" s="100"/>
      <c r="N64" s="100"/>
      <c r="O64" s="100"/>
      <c r="P64" s="717"/>
      <c r="Q64" s="719">
        <f t="shared" si="2"/>
        <v>0</v>
      </c>
      <c r="R64" s="619">
        <f t="shared" si="5"/>
      </c>
      <c r="S64" s="271"/>
      <c r="T64" s="442"/>
      <c r="U64" s="48"/>
      <c r="V64" s="138"/>
      <c r="W64" s="138"/>
      <c r="X64" s="181"/>
      <c r="Y64" s="138"/>
      <c r="Z64" s="138"/>
      <c r="AA64" s="135"/>
      <c r="AB64" s="255"/>
      <c r="AC64" s="136"/>
      <c r="AD64" s="137"/>
      <c r="AE64" s="137"/>
      <c r="AF64" s="137"/>
      <c r="AG64" s="139"/>
      <c r="AH64" s="267"/>
      <c r="AI64" s="160"/>
      <c r="AJ64" s="160"/>
      <c r="AK64" s="160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</row>
    <row r="65" spans="1:48" ht="12.75" customHeight="1">
      <c r="A65" s="49"/>
      <c r="B65" s="734"/>
      <c r="C65" s="735"/>
      <c r="D65" s="735"/>
      <c r="E65" s="735"/>
      <c r="F65" s="2">
        <f>IF($B65="","",VLOOKUP($B65,Daten!$B$8:$E$59,2,FALSE))</f>
      </c>
      <c r="G65" s="98"/>
      <c r="H65" s="100"/>
      <c r="I65" s="100"/>
      <c r="J65" s="615">
        <f t="shared" si="1"/>
        <v>0</v>
      </c>
      <c r="K65" s="616">
        <f>IF($B65="","",VLOOKUP($B65,Daten!$B$8:$E$59,4,FALSE))</f>
      </c>
      <c r="L65" s="619">
        <f t="shared" si="4"/>
      </c>
      <c r="M65" s="100"/>
      <c r="N65" s="100"/>
      <c r="O65" s="100"/>
      <c r="P65" s="717"/>
      <c r="Q65" s="719">
        <f t="shared" si="2"/>
        <v>0</v>
      </c>
      <c r="R65" s="619">
        <f t="shared" si="5"/>
      </c>
      <c r="S65" s="271"/>
      <c r="T65" s="442"/>
      <c r="U65" s="48"/>
      <c r="V65" s="138"/>
      <c r="W65" s="138"/>
      <c r="X65" s="181"/>
      <c r="Y65" s="138"/>
      <c r="Z65" s="138"/>
      <c r="AA65" s="135"/>
      <c r="AB65" s="255"/>
      <c r="AC65" s="136"/>
      <c r="AD65" s="137"/>
      <c r="AE65" s="137"/>
      <c r="AF65" s="137"/>
      <c r="AG65" s="139"/>
      <c r="AH65" s="267"/>
      <c r="AI65" s="160"/>
      <c r="AJ65" s="160"/>
      <c r="AK65" s="160"/>
      <c r="AL65" s="158"/>
      <c r="AM65" s="214"/>
      <c r="AN65" s="158"/>
      <c r="AO65" s="158"/>
      <c r="AP65" s="215"/>
      <c r="AQ65" s="158"/>
      <c r="AR65" s="158"/>
      <c r="AS65" s="158"/>
      <c r="AT65" s="158"/>
      <c r="AU65" s="158"/>
      <c r="AV65" s="158"/>
    </row>
    <row r="66" spans="1:48" ht="12.75" customHeight="1">
      <c r="A66" s="49"/>
      <c r="B66" s="734"/>
      <c r="C66" s="735"/>
      <c r="D66" s="735"/>
      <c r="E66" s="735"/>
      <c r="F66" s="2">
        <f>IF($B66="","",VLOOKUP($B66,Daten!$B$8:$E$59,2,FALSE))</f>
      </c>
      <c r="G66" s="98"/>
      <c r="H66" s="100"/>
      <c r="I66" s="100"/>
      <c r="J66" s="615">
        <f t="shared" si="1"/>
        <v>0</v>
      </c>
      <c r="K66" s="616">
        <f>IF($B66="","",VLOOKUP($B66,Daten!$B$8:$E$59,4,FALSE))</f>
      </c>
      <c r="L66" s="619">
        <f t="shared" si="4"/>
      </c>
      <c r="M66" s="100"/>
      <c r="N66" s="100"/>
      <c r="O66" s="100"/>
      <c r="P66" s="717"/>
      <c r="Q66" s="719">
        <f t="shared" si="2"/>
        <v>0</v>
      </c>
      <c r="R66" s="619">
        <f t="shared" si="5"/>
      </c>
      <c r="S66" s="271"/>
      <c r="T66" s="442"/>
      <c r="U66" s="48"/>
      <c r="V66" s="138"/>
      <c r="W66" s="138"/>
      <c r="X66" s="181"/>
      <c r="Y66" s="138"/>
      <c r="Z66" s="138"/>
      <c r="AA66" s="135"/>
      <c r="AB66" s="255"/>
      <c r="AC66" s="136"/>
      <c r="AD66" s="137"/>
      <c r="AE66" s="137"/>
      <c r="AF66" s="137"/>
      <c r="AG66" s="139"/>
      <c r="AH66" s="267"/>
      <c r="AI66" s="160"/>
      <c r="AJ66" s="160"/>
      <c r="AK66" s="160"/>
      <c r="AL66" s="158"/>
      <c r="AM66" s="727"/>
      <c r="AN66" s="728"/>
      <c r="AO66" s="728"/>
      <c r="AP66" s="729"/>
      <c r="AQ66" s="158"/>
      <c r="AR66" s="158"/>
      <c r="AS66" s="158"/>
      <c r="AT66" s="158"/>
      <c r="AU66" s="158"/>
      <c r="AV66" s="158"/>
    </row>
    <row r="67" spans="1:48" ht="12.75" customHeight="1">
      <c r="A67" s="49"/>
      <c r="B67" s="738"/>
      <c r="C67" s="739"/>
      <c r="D67" s="739"/>
      <c r="E67" s="739"/>
      <c r="F67" s="57">
        <f>IF($B67="","",VLOOKUP($B67,Daten!$B$8:$E$59,2,FALSE))</f>
      </c>
      <c r="G67" s="102"/>
      <c r="H67" s="586"/>
      <c r="I67" s="586"/>
      <c r="J67" s="617">
        <f>IF(OR(AND(H67&lt;0,G67&lt;ABS(H67)),I67&gt;365),"!",G67+(H67*I67/365))</f>
        <v>0</v>
      </c>
      <c r="K67" s="618">
        <f>IF($B67="","",VLOOKUP($B67,Daten!$B$8:$E$59,4,FALSE))</f>
      </c>
      <c r="L67" s="620">
        <f t="shared" si="4"/>
      </c>
      <c r="M67" s="100"/>
      <c r="N67" s="586"/>
      <c r="O67" s="586"/>
      <c r="P67" s="718"/>
      <c r="Q67" s="720">
        <f t="shared" si="2"/>
        <v>0</v>
      </c>
      <c r="R67" s="619">
        <f t="shared" si="5"/>
      </c>
      <c r="S67" s="274"/>
      <c r="T67" s="442"/>
      <c r="U67" s="48"/>
      <c r="V67" s="138"/>
      <c r="W67" s="138"/>
      <c r="Y67" s="138"/>
      <c r="AA67" s="135"/>
      <c r="AB67" s="255"/>
      <c r="AC67" s="136"/>
      <c r="AD67" s="137"/>
      <c r="AE67" s="137"/>
      <c r="AF67" s="137"/>
      <c r="AG67" s="139"/>
      <c r="AH67" s="267"/>
      <c r="AI67" s="160"/>
      <c r="AJ67" s="160"/>
      <c r="AK67" s="160"/>
      <c r="AL67" s="158"/>
      <c r="AM67" s="231"/>
      <c r="AN67" s="132"/>
      <c r="AO67" s="132"/>
      <c r="AP67" s="133"/>
      <c r="AQ67" s="158"/>
      <c r="AR67" s="158"/>
      <c r="AS67" s="158"/>
      <c r="AT67" s="158"/>
      <c r="AU67" s="158"/>
      <c r="AV67" s="158"/>
    </row>
    <row r="68" spans="1:48" ht="12.75" customHeight="1">
      <c r="A68" s="49"/>
      <c r="B68" s="217"/>
      <c r="C68" s="275"/>
      <c r="D68" s="275"/>
      <c r="E68" s="275"/>
      <c r="F68" s="155"/>
      <c r="G68" s="155"/>
      <c r="H68" s="155"/>
      <c r="I68" s="276"/>
      <c r="J68" s="277"/>
      <c r="K68" s="278"/>
      <c r="L68" s="279">
        <f>SUM(L41:L67)</f>
        <v>0</v>
      </c>
      <c r="M68" s="280">
        <f>SUM(M41:M67)</f>
        <v>0</v>
      </c>
      <c r="N68" s="574"/>
      <c r="O68" s="278"/>
      <c r="P68" s="278"/>
      <c r="Q68" s="278"/>
      <c r="R68" s="280">
        <f>SUM(R41:R67)</f>
        <v>0</v>
      </c>
      <c r="S68" s="280">
        <f>SUM(S41:S67)</f>
        <v>0</v>
      </c>
      <c r="T68" s="442"/>
      <c r="U68" s="48"/>
      <c r="V68" s="138"/>
      <c r="W68" s="138"/>
      <c r="X68" s="468"/>
      <c r="Y68" s="138"/>
      <c r="AA68" s="135"/>
      <c r="AB68" s="255"/>
      <c r="AC68" s="136"/>
      <c r="AD68" s="137"/>
      <c r="AE68" s="137"/>
      <c r="AF68" s="137"/>
      <c r="AG68" s="139"/>
      <c r="AH68" s="267"/>
      <c r="AI68" s="160"/>
      <c r="AJ68" s="160"/>
      <c r="AK68" s="160"/>
      <c r="AL68" s="158"/>
      <c r="AM68" s="231"/>
      <c r="AN68" s="132"/>
      <c r="AO68" s="132"/>
      <c r="AP68" s="133"/>
      <c r="AQ68" s="158"/>
      <c r="AR68" s="158"/>
      <c r="AS68" s="158"/>
      <c r="AT68" s="158"/>
      <c r="AU68" s="158"/>
      <c r="AV68" s="158"/>
    </row>
    <row r="69" spans="1:48" ht="12.75" customHeight="1">
      <c r="A69" s="49"/>
      <c r="B69" s="724" t="str">
        <f>Texte!A165</f>
        <v>übrige Tierkategorien mit GF-Verzehr</v>
      </c>
      <c r="C69" s="577"/>
      <c r="D69" s="577"/>
      <c r="E69" s="577"/>
      <c r="F69" s="578"/>
      <c r="G69" s="579"/>
      <c r="H69" s="580"/>
      <c r="I69" s="580"/>
      <c r="J69" s="581"/>
      <c r="K69" s="582"/>
      <c r="L69" s="583"/>
      <c r="M69" s="584"/>
      <c r="N69" s="581"/>
      <c r="O69" s="582"/>
      <c r="P69" s="582"/>
      <c r="Q69" s="583"/>
      <c r="R69" s="584"/>
      <c r="S69" s="584"/>
      <c r="T69" s="48"/>
      <c r="U69" s="48"/>
      <c r="V69" s="138"/>
      <c r="W69" s="138"/>
      <c r="X69" s="181"/>
      <c r="AA69" s="135"/>
      <c r="AB69" s="255"/>
      <c r="AC69" s="136"/>
      <c r="AD69" s="137"/>
      <c r="AE69" s="137"/>
      <c r="AF69" s="137"/>
      <c r="AG69" s="139"/>
      <c r="AH69" s="267"/>
      <c r="AI69" s="160"/>
      <c r="AJ69" s="160"/>
      <c r="AK69" s="160"/>
      <c r="AL69" s="158"/>
      <c r="AM69" s="231"/>
      <c r="AN69" s="132"/>
      <c r="AO69" s="132"/>
      <c r="AP69" s="133"/>
      <c r="AQ69" s="158"/>
      <c r="AR69" s="158"/>
      <c r="AS69" s="158"/>
      <c r="AT69" s="158"/>
      <c r="AU69" s="158"/>
      <c r="AV69" s="158"/>
    </row>
    <row r="70" spans="1:48" ht="12.75" customHeight="1">
      <c r="A70" s="49"/>
      <c r="B70" s="575"/>
      <c r="C70" s="576"/>
      <c r="D70" s="576"/>
      <c r="E70" s="576"/>
      <c r="F70" s="208"/>
      <c r="G70" s="208"/>
      <c r="H70" s="209"/>
      <c r="J70" s="210"/>
      <c r="K70" s="211" t="str">
        <f>Texte!A99</f>
        <v>Grundfutter-</v>
      </c>
      <c r="L70" s="212"/>
      <c r="M70" s="211" t="str">
        <f>Texte!A166</f>
        <v>davon Wiesen-</v>
      </c>
      <c r="N70" s="270"/>
      <c r="O70" s="270"/>
      <c r="P70" s="592"/>
      <c r="Q70" s="593"/>
      <c r="R70" s="270"/>
      <c r="S70" s="270"/>
      <c r="T70" s="48"/>
      <c r="U70" s="48"/>
      <c r="V70" s="138"/>
      <c r="W70" s="138"/>
      <c r="X70" s="181"/>
      <c r="Z70" s="138"/>
      <c r="AA70" s="135"/>
      <c r="AB70" s="255"/>
      <c r="AC70" s="136"/>
      <c r="AD70" s="137"/>
      <c r="AE70" s="137"/>
      <c r="AF70" s="137"/>
      <c r="AG70" s="139"/>
      <c r="AH70" s="267"/>
      <c r="AI70" s="160"/>
      <c r="AJ70" s="160"/>
      <c r="AK70" s="160"/>
      <c r="AL70" s="158"/>
      <c r="AM70" s="231"/>
      <c r="AN70" s="132"/>
      <c r="AO70" s="132"/>
      <c r="AP70" s="133"/>
      <c r="AQ70" s="158"/>
      <c r="AR70" s="158"/>
      <c r="AS70" s="158"/>
      <c r="AT70" s="158"/>
      <c r="AU70" s="158"/>
      <c r="AV70" s="158"/>
    </row>
    <row r="71" spans="1:48" ht="12.75" customHeight="1">
      <c r="A71" s="49"/>
      <c r="B71" s="575"/>
      <c r="C71" s="576"/>
      <c r="D71" s="576"/>
      <c r="E71" s="576"/>
      <c r="F71" s="219"/>
      <c r="H71" s="220" t="str">
        <f>Texte!A92</f>
        <v>Abzug /</v>
      </c>
      <c r="I71" s="221"/>
      <c r="J71" s="222" t="str">
        <f>Texte!A96</f>
        <v>Anzahl</v>
      </c>
      <c r="K71" s="223" t="str">
        <f>Texte!A100</f>
        <v>verzehr</v>
      </c>
      <c r="L71" s="224"/>
      <c r="M71" s="225" t="str">
        <f>Texte!A167</f>
        <v>&amp; Weidefutter</v>
      </c>
      <c r="N71" s="271"/>
      <c r="O71" s="271"/>
      <c r="P71" s="594"/>
      <c r="Q71" s="595"/>
      <c r="R71" s="271"/>
      <c r="S71" s="271"/>
      <c r="T71" s="48"/>
      <c r="U71" s="48"/>
      <c r="V71" s="138"/>
      <c r="W71" s="138"/>
      <c r="X71" s="181"/>
      <c r="Z71" s="138"/>
      <c r="AA71" s="135"/>
      <c r="AB71" s="255"/>
      <c r="AC71" s="136"/>
      <c r="AD71" s="137"/>
      <c r="AE71" s="137"/>
      <c r="AF71" s="137"/>
      <c r="AG71" s="139"/>
      <c r="AH71" s="267"/>
      <c r="AI71" s="160"/>
      <c r="AJ71" s="160"/>
      <c r="AK71" s="160"/>
      <c r="AL71" s="158"/>
      <c r="AM71" s="231"/>
      <c r="AN71" s="132"/>
      <c r="AO71" s="132"/>
      <c r="AP71" s="133"/>
      <c r="AQ71" s="158"/>
      <c r="AR71" s="158"/>
      <c r="AS71" s="158"/>
      <c r="AT71" s="158"/>
      <c r="AU71" s="158"/>
      <c r="AV71" s="158"/>
    </row>
    <row r="72" spans="1:48" ht="12.75" customHeight="1">
      <c r="A72" s="49"/>
      <c r="B72" s="575"/>
      <c r="C72" s="576"/>
      <c r="D72" s="576"/>
      <c r="E72" s="576"/>
      <c r="F72" s="219" t="str">
        <f>Texte!A90</f>
        <v>Einheit</v>
      </c>
      <c r="G72" s="219" t="str">
        <f>Texte!A91</f>
        <v>Anzahl</v>
      </c>
      <c r="H72" s="220" t="str">
        <f>Texte!A93</f>
        <v>Zuschlag</v>
      </c>
      <c r="I72" s="233"/>
      <c r="J72" s="222" t="str">
        <f>Texte!A97</f>
        <v>korri-</v>
      </c>
      <c r="K72" s="234" t="str">
        <f>Texte!A104</f>
        <v>dt TS</v>
      </c>
      <c r="L72" s="234" t="str">
        <f>Texte!A104</f>
        <v>dt TS</v>
      </c>
      <c r="M72" s="585" t="str">
        <f>Texte!A104</f>
        <v>dt TS</v>
      </c>
      <c r="N72" s="271"/>
      <c r="O72" s="271"/>
      <c r="P72" s="594"/>
      <c r="Q72" s="595"/>
      <c r="R72" s="271"/>
      <c r="S72" s="271"/>
      <c r="T72" s="48"/>
      <c r="U72" s="48"/>
      <c r="V72" s="138"/>
      <c r="W72" s="138"/>
      <c r="X72" s="468" t="s">
        <v>1267</v>
      </c>
      <c r="Z72" s="138"/>
      <c r="AA72" s="135"/>
      <c r="AB72" s="255"/>
      <c r="AC72" s="136"/>
      <c r="AD72" s="137"/>
      <c r="AE72" s="137"/>
      <c r="AF72" s="137"/>
      <c r="AG72" s="139"/>
      <c r="AH72" s="267"/>
      <c r="AI72" s="160"/>
      <c r="AJ72" s="160"/>
      <c r="AK72" s="160"/>
      <c r="AL72" s="158"/>
      <c r="AM72" s="231"/>
      <c r="AN72" s="132"/>
      <c r="AO72" s="132"/>
      <c r="AP72" s="133"/>
      <c r="AQ72" s="158"/>
      <c r="AR72" s="158"/>
      <c r="AS72" s="158"/>
      <c r="AT72" s="158"/>
      <c r="AU72" s="158"/>
      <c r="AV72" s="158"/>
    </row>
    <row r="73" spans="1:48" ht="12.75" customHeight="1">
      <c r="A73" s="49"/>
      <c r="B73" s="575"/>
      <c r="C73" s="576"/>
      <c r="D73" s="576"/>
      <c r="E73" s="576"/>
      <c r="F73" s="240"/>
      <c r="G73" s="240"/>
      <c r="H73" s="240" t="str">
        <f>Texte!A94</f>
        <v>± Tiere</v>
      </c>
      <c r="I73" s="241" t="str">
        <f>Texte!A95</f>
        <v>Tage</v>
      </c>
      <c r="J73" s="622" t="str">
        <f>Texte!A98</f>
        <v>giert</v>
      </c>
      <c r="K73" s="242" t="str">
        <f>Texte!A101</f>
        <v>pro Jahr</v>
      </c>
      <c r="L73" s="242" t="str">
        <f>Texte!A103</f>
        <v>total</v>
      </c>
      <c r="M73" s="374" t="str">
        <f>Texte!A103</f>
        <v>total</v>
      </c>
      <c r="N73" s="271"/>
      <c r="O73" s="271"/>
      <c r="P73" s="594"/>
      <c r="Q73" s="595"/>
      <c r="R73" s="271"/>
      <c r="S73" s="271"/>
      <c r="T73" s="48"/>
      <c r="U73" s="48"/>
      <c r="V73" s="138"/>
      <c r="W73" s="138"/>
      <c r="X73" s="181"/>
      <c r="Z73" s="138" t="s">
        <v>1268</v>
      </c>
      <c r="AA73" s="135"/>
      <c r="AB73" s="255"/>
      <c r="AC73" s="136"/>
      <c r="AD73" s="137"/>
      <c r="AE73" s="137"/>
      <c r="AF73" s="137"/>
      <c r="AG73" s="139"/>
      <c r="AH73" s="267"/>
      <c r="AI73" s="160"/>
      <c r="AJ73" s="160"/>
      <c r="AK73" s="160"/>
      <c r="AL73" s="158"/>
      <c r="AM73" s="231"/>
      <c r="AN73" s="132"/>
      <c r="AO73" s="132"/>
      <c r="AP73" s="133"/>
      <c r="AQ73" s="158"/>
      <c r="AR73" s="158"/>
      <c r="AS73" s="158"/>
      <c r="AT73" s="158"/>
      <c r="AU73" s="158"/>
      <c r="AV73" s="158"/>
    </row>
    <row r="74" spans="1:48" ht="12.75" customHeight="1">
      <c r="A74" s="49"/>
      <c r="B74" s="708" t="str">
        <f>Texte!A170</f>
        <v>Strausse &gt; 13 Monate</v>
      </c>
      <c r="C74" s="723"/>
      <c r="D74" s="723"/>
      <c r="E74" s="723"/>
      <c r="F74" s="53" t="str">
        <f>IF($B74="","",VLOOKUP($B74,Daten!$B$8:$E$59,2,FALSE))</f>
        <v>1 Stück</v>
      </c>
      <c r="G74" s="101"/>
      <c r="H74" s="443"/>
      <c r="I74" s="443"/>
      <c r="J74" s="623">
        <f t="shared" si="1"/>
        <v>0</v>
      </c>
      <c r="K74" s="623">
        <f>IF($B74="","",VLOOKUP($B74,Daten!$B$8:$E$59,4,FALSE))</f>
        <v>11</v>
      </c>
      <c r="L74" s="625">
        <f aca="true" t="shared" si="6" ref="L74:L81">IF(J74&gt;0,J74*K74,"")</f>
      </c>
      <c r="M74" s="100">
        <f>L74</f>
      </c>
      <c r="N74" s="271"/>
      <c r="O74" s="271"/>
      <c r="P74" s="594"/>
      <c r="Q74" s="595"/>
      <c r="R74" s="271"/>
      <c r="S74" s="271"/>
      <c r="T74" s="48"/>
      <c r="U74" s="48"/>
      <c r="V74" s="138"/>
      <c r="W74" s="138"/>
      <c r="X74" s="138" t="str">
        <f>Daten!B50</f>
        <v>Mastschweineplatz / Remonten (26-108 kg)</v>
      </c>
      <c r="Z74" s="260">
        <v>0.5</v>
      </c>
      <c r="AA74" s="135"/>
      <c r="AB74" s="255"/>
      <c r="AC74" s="136"/>
      <c r="AD74" s="137"/>
      <c r="AE74" s="137"/>
      <c r="AF74" s="137"/>
      <c r="AG74" s="139"/>
      <c r="AH74" s="267"/>
      <c r="AI74" s="160"/>
      <c r="AJ74" s="160"/>
      <c r="AK74" s="160"/>
      <c r="AL74" s="158"/>
      <c r="AM74" s="231"/>
      <c r="AN74" s="132"/>
      <c r="AO74" s="132"/>
      <c r="AP74" s="133"/>
      <c r="AQ74" s="158"/>
      <c r="AR74" s="158"/>
      <c r="AS74" s="158"/>
      <c r="AT74" s="158"/>
      <c r="AU74" s="158"/>
      <c r="AV74" s="158"/>
    </row>
    <row r="75" spans="1:47" ht="12.75" customHeight="1">
      <c r="A75" s="49"/>
      <c r="B75" s="268" t="str">
        <f>Texte!A171</f>
        <v>Strausse &lt; 13 Monate</v>
      </c>
      <c r="C75" s="269"/>
      <c r="D75" s="269"/>
      <c r="E75" s="269"/>
      <c r="F75" s="53" t="str">
        <f>IF($B75="","",VLOOKUP($B75,Daten!$B$8:$E$59,2,FALSE))</f>
        <v>1 Stück</v>
      </c>
      <c r="G75" s="101"/>
      <c r="H75" s="444"/>
      <c r="I75" s="444"/>
      <c r="J75" s="623">
        <f t="shared" si="1"/>
        <v>0</v>
      </c>
      <c r="K75" s="623">
        <f>IF($B75="","",VLOOKUP($B75,Daten!$B$8:$E$59,4,FALSE))</f>
        <v>2</v>
      </c>
      <c r="L75" s="625">
        <f t="shared" si="6"/>
      </c>
      <c r="M75" s="100">
        <f>L75</f>
      </c>
      <c r="N75" s="271"/>
      <c r="O75" s="271"/>
      <c r="P75" s="594"/>
      <c r="Q75" s="595"/>
      <c r="R75" s="271"/>
      <c r="S75" s="271"/>
      <c r="T75" s="48"/>
      <c r="U75" s="48"/>
      <c r="V75" s="138"/>
      <c r="W75" s="138"/>
      <c r="X75" s="138" t="str">
        <f>Daten!B51</f>
        <v>Mastschweine / Remonten (26-108 kg)</v>
      </c>
      <c r="Z75" s="260">
        <v>0.5</v>
      </c>
      <c r="AA75" s="135"/>
      <c r="AB75" s="255"/>
      <c r="AC75" s="136"/>
      <c r="AD75" s="137"/>
      <c r="AE75" s="137"/>
      <c r="AF75" s="137"/>
      <c r="AG75" s="139"/>
      <c r="AH75" s="267"/>
      <c r="AI75" s="160"/>
      <c r="AJ75" s="160"/>
      <c r="AK75" s="160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</row>
    <row r="76" spans="1:48" ht="12.75" customHeight="1">
      <c r="A76" s="49"/>
      <c r="B76" s="268" t="str">
        <f>Texte!A168</f>
        <v>Kaninchen, Zibben inkl. Jungtiere bis 35 d</v>
      </c>
      <c r="C76" s="269"/>
      <c r="D76" s="269"/>
      <c r="E76" s="269"/>
      <c r="F76" s="53" t="str">
        <f>IF($B76="","",VLOOKUP($B76,Daten!$B$8:$E$59,2,FALSE))</f>
        <v>1 Stück</v>
      </c>
      <c r="G76" s="101"/>
      <c r="H76" s="444"/>
      <c r="I76" s="444"/>
      <c r="J76" s="623">
        <f t="shared" si="1"/>
        <v>0</v>
      </c>
      <c r="K76" s="623">
        <f>IF($B76="","",VLOOKUP($B76,Daten!$B$8:$E$59,4,FALSE))</f>
        <v>0.36</v>
      </c>
      <c r="L76" s="625">
        <f t="shared" si="6"/>
      </c>
      <c r="M76" s="100">
        <f>L76</f>
      </c>
      <c r="N76" s="271"/>
      <c r="O76" s="271"/>
      <c r="P76" s="594"/>
      <c r="Q76" s="595"/>
      <c r="R76" s="271"/>
      <c r="S76" s="271"/>
      <c r="T76" s="48"/>
      <c r="U76" s="48"/>
      <c r="V76" s="138"/>
      <c r="W76" s="138"/>
      <c r="X76" s="138" t="str">
        <f>Daten!B52</f>
        <v>Zuchtschweine inkl. Ferkel bis 26 kg</v>
      </c>
      <c r="Z76" s="260">
        <v>6.5</v>
      </c>
      <c r="AA76" s="135"/>
      <c r="AB76" s="255"/>
      <c r="AC76" s="136"/>
      <c r="AD76" s="137"/>
      <c r="AE76" s="137"/>
      <c r="AF76" s="137"/>
      <c r="AG76" s="139"/>
      <c r="AH76" s="267"/>
      <c r="AI76" s="160"/>
      <c r="AJ76" s="160"/>
      <c r="AK76" s="160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</row>
    <row r="77" spans="1:48" ht="12.75" customHeight="1">
      <c r="A77" s="49"/>
      <c r="B77" s="268" t="str">
        <f>Texte!A169</f>
        <v>Kaninchen, Jungtiere ab ca 35 Tagen</v>
      </c>
      <c r="C77" s="272"/>
      <c r="D77" s="272"/>
      <c r="E77" s="272"/>
      <c r="F77" s="53" t="str">
        <f>IF($B77="","",VLOOKUP($B77,Daten!$B$8:$E$59,2,FALSE))</f>
        <v>100 Pl.</v>
      </c>
      <c r="G77" s="98"/>
      <c r="H77" s="444"/>
      <c r="I77" s="444"/>
      <c r="J77" s="623">
        <f t="shared" si="1"/>
        <v>0</v>
      </c>
      <c r="K77" s="623">
        <f>IF($B77="","",VLOOKUP($B77,Daten!$B$8:$E$59,4,FALSE))</f>
        <v>4</v>
      </c>
      <c r="L77" s="626">
        <f t="shared" si="6"/>
      </c>
      <c r="M77" s="100">
        <f>L77</f>
      </c>
      <c r="N77" s="271"/>
      <c r="O77" s="271"/>
      <c r="P77" s="594"/>
      <c r="Q77" s="595"/>
      <c r="R77" s="271"/>
      <c r="S77" s="271"/>
      <c r="T77" s="48"/>
      <c r="U77" s="48"/>
      <c r="V77" s="138"/>
      <c r="W77" s="138"/>
      <c r="X77" s="138" t="str">
        <f>Daten!B53</f>
        <v>Galtsauenplatz, 2.94 Umtriebe</v>
      </c>
      <c r="Z77" s="260">
        <v>9</v>
      </c>
      <c r="AA77" s="135"/>
      <c r="AB77" s="255"/>
      <c r="AC77" s="136"/>
      <c r="AD77" s="137"/>
      <c r="AE77" s="137"/>
      <c r="AF77" s="448"/>
      <c r="AG77" s="139"/>
      <c r="AH77" s="267"/>
      <c r="AI77" s="180"/>
      <c r="AJ77" s="180"/>
      <c r="AK77" s="180"/>
      <c r="AL77" s="188"/>
      <c r="AM77" s="214"/>
      <c r="AN77" s="158"/>
      <c r="AO77" s="158"/>
      <c r="AP77" s="215"/>
      <c r="AQ77" s="158"/>
      <c r="AR77" s="158"/>
      <c r="AS77" s="158"/>
      <c r="AT77" s="158"/>
      <c r="AU77" s="158"/>
      <c r="AV77" s="158"/>
    </row>
    <row r="78" spans="1:48" ht="12.75" customHeight="1">
      <c r="A78" s="49"/>
      <c r="B78" s="268" t="str">
        <f>Texte!A174</f>
        <v>Zuchtschweine inkl. Ferkel bis 26 kg</v>
      </c>
      <c r="C78" s="272"/>
      <c r="D78" s="272"/>
      <c r="E78" s="272"/>
      <c r="F78" s="2" t="str">
        <f>IF($B78="","",VLOOKUP($B78,Daten!$B$8:$E$59,2,FALSE))</f>
        <v>1 Platz</v>
      </c>
      <c r="G78" s="98"/>
      <c r="H78" s="444"/>
      <c r="I78" s="444"/>
      <c r="J78" s="623">
        <f t="shared" si="1"/>
        <v>0</v>
      </c>
      <c r="K78" s="96"/>
      <c r="L78" s="621">
        <f t="shared" si="6"/>
      </c>
      <c r="M78" s="100"/>
      <c r="N78" s="643">
        <f>IF(M78&gt;L78,Texte!A$184,"")</f>
      </c>
      <c r="O78" s="271"/>
      <c r="P78" s="594"/>
      <c r="Q78" s="595"/>
      <c r="R78" s="271"/>
      <c r="S78" s="271"/>
      <c r="T78" s="554">
        <f>IF($B78="","",IF(AND($K78&gt;0.5,$K78&lt;=VLOOKUP($B78,X$74:Z$81,3)),Texte!$A$182,IF($K78&lt;=0.5,"",Texte!$A$183)))</f>
      </c>
      <c r="U78" s="48"/>
      <c r="V78" s="138"/>
      <c r="W78" s="138"/>
      <c r="X78" s="138" t="str">
        <f>Daten!B54</f>
        <v>Galtsauen, pro Umtrieb</v>
      </c>
      <c r="Z78" s="260">
        <v>9</v>
      </c>
      <c r="AA78" s="135"/>
      <c r="AB78" s="255"/>
      <c r="AC78" s="136"/>
      <c r="AD78" s="137"/>
      <c r="AE78" s="137"/>
      <c r="AF78" s="448"/>
      <c r="AG78" s="139"/>
      <c r="AH78" s="267"/>
      <c r="AI78" s="273"/>
      <c r="AJ78" s="180"/>
      <c r="AK78" s="180"/>
      <c r="AL78" s="188"/>
      <c r="AM78" s="727"/>
      <c r="AN78" s="728"/>
      <c r="AO78" s="728"/>
      <c r="AP78" s="729"/>
      <c r="AQ78" s="158"/>
      <c r="AR78" s="158"/>
      <c r="AS78" s="158"/>
      <c r="AT78" s="158"/>
      <c r="AU78" s="158"/>
      <c r="AV78" s="158"/>
    </row>
    <row r="79" spans="1:47" ht="12.75" customHeight="1">
      <c r="A79" s="49"/>
      <c r="B79" s="734"/>
      <c r="C79" s="735"/>
      <c r="D79" s="735"/>
      <c r="E79" s="735"/>
      <c r="F79" s="2">
        <f>IF($B79="","",VLOOKUP($B79,Daten!$B$8:$E$59,2,FALSE))</f>
      </c>
      <c r="G79" s="98"/>
      <c r="H79" s="444"/>
      <c r="I79" s="444"/>
      <c r="J79" s="623">
        <f t="shared" si="1"/>
        <v>0</v>
      </c>
      <c r="K79" s="96"/>
      <c r="L79" s="621">
        <f t="shared" si="6"/>
      </c>
      <c r="M79" s="100"/>
      <c r="N79" s="643">
        <f>IF(M79&gt;L79,Texte!A$184,"")</f>
      </c>
      <c r="O79" s="271"/>
      <c r="P79" s="594"/>
      <c r="Q79" s="595"/>
      <c r="R79" s="271"/>
      <c r="S79" s="271"/>
      <c r="T79" s="554">
        <f>IF($B79="","",IF(AND($K79&gt;0.5,$K79&lt;=VLOOKUP($B79,X$74:Z$81,3)),Texte!$A$182,IF($K79&lt;=0.5,"",Texte!$A$183)))</f>
      </c>
      <c r="U79" s="48"/>
      <c r="V79" s="138"/>
      <c r="W79" s="138"/>
      <c r="X79" s="138" t="str">
        <f>Daten!B55</f>
        <v>Zuchtschweine, säugend, 9.86 Umtriebe</v>
      </c>
      <c r="Z79" s="260">
        <v>6.5</v>
      </c>
      <c r="AA79" s="135"/>
      <c r="AB79" s="448"/>
      <c r="AC79" s="255"/>
      <c r="AD79" s="137"/>
      <c r="AE79" s="48"/>
      <c r="AF79" s="448"/>
      <c r="AG79" s="139"/>
      <c r="AH79" s="267"/>
      <c r="AI79" s="160"/>
      <c r="AJ79" s="160"/>
      <c r="AK79" s="160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</row>
    <row r="80" spans="1:48" ht="12.75" customHeight="1">
      <c r="A80" s="49"/>
      <c r="B80" s="734"/>
      <c r="C80" s="735"/>
      <c r="D80" s="735"/>
      <c r="E80" s="735"/>
      <c r="F80" s="2">
        <f>IF($B80="","",VLOOKUP($B80,Daten!$B$8:$E$59,2,FALSE))</f>
      </c>
      <c r="G80" s="98"/>
      <c r="H80" s="444"/>
      <c r="I80" s="444"/>
      <c r="J80" s="623">
        <f t="shared" si="1"/>
        <v>0</v>
      </c>
      <c r="K80" s="96"/>
      <c r="L80" s="621">
        <f t="shared" si="6"/>
      </c>
      <c r="M80" s="100"/>
      <c r="N80" s="643">
        <f>IF(M80&gt;L80,Texte!A$184,"")</f>
      </c>
      <c r="O80" s="271"/>
      <c r="P80" s="594"/>
      <c r="Q80" s="595"/>
      <c r="R80" s="271"/>
      <c r="S80" s="271"/>
      <c r="T80" s="554">
        <f>IF($B80="","",IF(AND($K80&gt;0.5,$K80&lt;=VLOOKUP($B80,X$74:Z$81,3)),Texte!$A$182,IF($K80&lt;=0.5,"",Texte!$A$183)))</f>
      </c>
      <c r="U80" s="48"/>
      <c r="V80" s="138"/>
      <c r="W80" s="138"/>
      <c r="X80" s="138" t="str">
        <f>Daten!B56</f>
        <v>Zuchtschweine, säugend, pro Umtrieb</v>
      </c>
      <c r="Z80" s="260">
        <v>6.5</v>
      </c>
      <c r="AA80" s="135"/>
      <c r="AB80" s="448"/>
      <c r="AC80" s="255"/>
      <c r="AD80" s="137"/>
      <c r="AE80" s="48"/>
      <c r="AF80" s="137"/>
      <c r="AG80" s="139"/>
      <c r="AH80" s="267"/>
      <c r="AI80" s="160"/>
      <c r="AJ80" s="160"/>
      <c r="AK80" s="160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</row>
    <row r="81" spans="1:48" ht="12.75" customHeight="1">
      <c r="A81" s="262"/>
      <c r="B81" s="738"/>
      <c r="C81" s="739"/>
      <c r="D81" s="739"/>
      <c r="E81" s="739"/>
      <c r="F81" s="57">
        <f>IF($B81="","",VLOOKUP($B81,Daten!$B$8:$E$59,2,FALSE))</f>
      </c>
      <c r="G81" s="102"/>
      <c r="H81" s="445"/>
      <c r="I81" s="445"/>
      <c r="J81" s="624">
        <f t="shared" si="1"/>
        <v>0</v>
      </c>
      <c r="K81" s="97"/>
      <c r="L81" s="627">
        <f t="shared" si="6"/>
      </c>
      <c r="M81" s="100"/>
      <c r="N81" s="644">
        <f>IF(M81&gt;L81,Texte!A$184,"")</f>
      </c>
      <c r="O81" s="274"/>
      <c r="P81" s="596"/>
      <c r="Q81" s="312"/>
      <c r="R81" s="274"/>
      <c r="S81" s="274"/>
      <c r="T81" s="554">
        <f>IF($B81="","",IF(AND($K81&gt;0.5,$K81&lt;=VLOOKUP($B81,X$74:Z$81,3)),Texte!$A$182,IF($K81&lt;=0.5,"",Texte!$A$183)))</f>
      </c>
      <c r="U81" s="48"/>
      <c r="V81" s="138"/>
      <c r="W81" s="138"/>
      <c r="X81" s="138" t="str">
        <f>Daten!B57</f>
        <v>Zuchteber</v>
      </c>
      <c r="Z81" s="260">
        <v>6.5</v>
      </c>
      <c r="AA81" s="135"/>
      <c r="AB81" s="448"/>
      <c r="AC81" s="255"/>
      <c r="AD81" s="137"/>
      <c r="AE81" s="48"/>
      <c r="AF81" s="137"/>
      <c r="AG81" s="139"/>
      <c r="AH81" s="267"/>
      <c r="AI81" s="160"/>
      <c r="AJ81" s="160"/>
      <c r="AK81" s="160"/>
      <c r="AL81" s="158"/>
      <c r="AM81" s="214"/>
      <c r="AN81" s="158"/>
      <c r="AO81" s="158"/>
      <c r="AP81" s="215"/>
      <c r="AQ81" s="158"/>
      <c r="AR81" s="158"/>
      <c r="AS81" s="158"/>
      <c r="AT81" s="158"/>
      <c r="AU81" s="158"/>
      <c r="AV81" s="158"/>
    </row>
    <row r="82" spans="1:48" ht="12.75" customHeight="1">
      <c r="A82" s="218"/>
      <c r="C82" s="275"/>
      <c r="D82" s="275"/>
      <c r="E82" s="275"/>
      <c r="F82" s="155"/>
      <c r="G82" s="155"/>
      <c r="H82" s="155"/>
      <c r="I82" s="276"/>
      <c r="J82" s="277"/>
      <c r="K82" s="278"/>
      <c r="L82" s="279">
        <f>SUM(L74:L81)</f>
        <v>0</v>
      </c>
      <c r="M82" s="280">
        <f>SUM(M74:M81)</f>
        <v>0</v>
      </c>
      <c r="N82" s="574"/>
      <c r="O82" s="278"/>
      <c r="P82" s="278"/>
      <c r="Q82" s="278"/>
      <c r="R82" s="278"/>
      <c r="S82" s="278"/>
      <c r="T82" s="276"/>
      <c r="U82" s="276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60"/>
      <c r="AJ82" s="160"/>
      <c r="AK82" s="160"/>
      <c r="AL82" s="158"/>
      <c r="AM82" s="727"/>
      <c r="AN82" s="728"/>
      <c r="AO82" s="728"/>
      <c r="AP82" s="729"/>
      <c r="AQ82" s="158"/>
      <c r="AR82" s="158"/>
      <c r="AS82" s="158"/>
      <c r="AT82" s="158"/>
      <c r="AU82" s="158"/>
      <c r="AV82" s="158"/>
    </row>
    <row r="83" spans="2:48" ht="7.5" customHeight="1">
      <c r="B83" s="275"/>
      <c r="C83" s="275"/>
      <c r="D83" s="275"/>
      <c r="E83" s="275"/>
      <c r="F83" s="155"/>
      <c r="G83" s="155"/>
      <c r="H83" s="155"/>
      <c r="I83" s="276"/>
      <c r="J83" s="277"/>
      <c r="K83" s="277"/>
      <c r="L83" s="281"/>
      <c r="M83" s="192"/>
      <c r="N83" s="276"/>
      <c r="O83" s="276"/>
      <c r="P83" s="276"/>
      <c r="Q83" s="276"/>
      <c r="R83" s="278"/>
      <c r="S83" s="278"/>
      <c r="T83" s="276"/>
      <c r="U83" s="276"/>
      <c r="V83" s="276"/>
      <c r="W83" s="276"/>
      <c r="X83" s="276"/>
      <c r="Y83" s="276"/>
      <c r="Z83" s="276"/>
      <c r="AA83" s="276"/>
      <c r="AB83" s="149"/>
      <c r="AE83" s="150"/>
      <c r="AF83" s="151"/>
      <c r="AH83" s="150"/>
      <c r="AI83" s="149"/>
      <c r="AJ83" s="160"/>
      <c r="AK83" s="160"/>
      <c r="AL83" s="160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</row>
    <row r="84" spans="2:49" ht="12.75" customHeight="1">
      <c r="B84" s="218" t="str">
        <f>Texte!A186</f>
        <v>Ganzjahresbetrieb</v>
      </c>
      <c r="C84" s="275"/>
      <c r="D84" s="275"/>
      <c r="E84" s="275"/>
      <c r="F84" s="155"/>
      <c r="G84" s="155"/>
      <c r="H84" s="155"/>
      <c r="I84" s="276"/>
      <c r="J84" s="277"/>
      <c r="K84" s="277"/>
      <c r="L84" s="281"/>
      <c r="M84" s="192"/>
      <c r="N84" s="276"/>
      <c r="O84" s="276"/>
      <c r="P84" s="276"/>
      <c r="Q84" s="276"/>
      <c r="R84" s="276"/>
      <c r="S84" s="276"/>
      <c r="T84" s="276"/>
      <c r="U84" s="276"/>
      <c r="V84" s="139"/>
      <c r="W84" s="139"/>
      <c r="X84" s="139"/>
      <c r="Y84" s="139"/>
      <c r="Z84" s="139"/>
      <c r="AA84" s="139"/>
      <c r="AB84" s="139"/>
      <c r="AC84" s="139"/>
      <c r="AD84" s="139"/>
      <c r="AE84" s="150"/>
      <c r="AF84" s="151"/>
      <c r="AH84" s="150"/>
      <c r="AI84" s="149"/>
      <c r="AL84" s="152"/>
      <c r="AM84" s="158"/>
      <c r="AN84" s="214"/>
      <c r="AO84" s="158"/>
      <c r="AP84" s="158"/>
      <c r="AQ84" s="215"/>
      <c r="AR84" s="158"/>
      <c r="AS84" s="158"/>
      <c r="AT84" s="158"/>
      <c r="AU84" s="158"/>
      <c r="AV84" s="158"/>
      <c r="AW84" s="158"/>
    </row>
    <row r="85" spans="2:49" ht="12.75" customHeight="1">
      <c r="B85" s="218" t="str">
        <f>Texte!A187</f>
        <v>A1: Grundfutterverzehr aller Tiere</v>
      </c>
      <c r="C85" s="275"/>
      <c r="D85" s="275"/>
      <c r="E85" s="275"/>
      <c r="F85" s="155"/>
      <c r="G85" s="155"/>
      <c r="H85" s="155"/>
      <c r="I85" s="276"/>
      <c r="J85" s="277"/>
      <c r="K85" s="277"/>
      <c r="L85" s="628">
        <f>L82+L68</f>
        <v>0</v>
      </c>
      <c r="M85" s="276" t="str">
        <f>Texte!A104</f>
        <v>dt TS</v>
      </c>
      <c r="N85" s="276"/>
      <c r="O85" s="276"/>
      <c r="P85" s="276"/>
      <c r="Q85" s="276"/>
      <c r="R85" s="276"/>
      <c r="S85" s="276"/>
      <c r="T85" s="276"/>
      <c r="U85" s="276"/>
      <c r="V85" s="139"/>
      <c r="W85" s="139"/>
      <c r="X85" s="139"/>
      <c r="Y85" s="139"/>
      <c r="Z85" s="139"/>
      <c r="AA85" s="139"/>
      <c r="AB85" s="139"/>
      <c r="AC85" s="139"/>
      <c r="AD85" s="139"/>
      <c r="AE85" s="150"/>
      <c r="AF85" s="282"/>
      <c r="AH85" s="283"/>
      <c r="AI85" s="149"/>
      <c r="AJ85" s="284"/>
      <c r="AL85" s="152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</row>
    <row r="86" spans="2:49" ht="12.75" customHeight="1">
      <c r="B86" s="218" t="str">
        <f>Texte!A188</f>
        <v>A2: Grundfutterverzehr Raufutterverzehrer</v>
      </c>
      <c r="C86" s="275"/>
      <c r="D86" s="275"/>
      <c r="E86" s="275"/>
      <c r="F86" s="155"/>
      <c r="G86" s="155"/>
      <c r="H86" s="155"/>
      <c r="I86" s="276"/>
      <c r="J86" s="277"/>
      <c r="K86" s="277"/>
      <c r="L86" s="628">
        <f>SUM(L41:L60,L62:L67)</f>
        <v>0</v>
      </c>
      <c r="M86" s="276" t="str">
        <f>Texte!A104</f>
        <v>dt TS</v>
      </c>
      <c r="N86" s="276"/>
      <c r="O86" s="276"/>
      <c r="P86" s="276"/>
      <c r="Q86" s="276"/>
      <c r="R86" s="276"/>
      <c r="S86" s="276"/>
      <c r="T86" s="276"/>
      <c r="U86" s="276"/>
      <c r="V86" s="139"/>
      <c r="W86" s="139"/>
      <c r="X86" s="140"/>
      <c r="Y86" s="139"/>
      <c r="Z86" s="139"/>
      <c r="AA86" s="139"/>
      <c r="AB86" s="139"/>
      <c r="AC86" s="139"/>
      <c r="AD86" s="139"/>
      <c r="AE86" s="150"/>
      <c r="AF86" s="282"/>
      <c r="AH86" s="283"/>
      <c r="AI86" s="149"/>
      <c r="AJ86" s="284"/>
      <c r="AL86" s="152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</row>
    <row r="87" spans="2:49" ht="12.75" customHeight="1">
      <c r="B87" s="218" t="str">
        <f>Texte!A189</f>
        <v>A3: Wiesen-/Weidefutterverzehr übrige Tiere</v>
      </c>
      <c r="C87" s="275"/>
      <c r="D87" s="275"/>
      <c r="E87" s="275"/>
      <c r="F87" s="155"/>
      <c r="G87" s="155"/>
      <c r="H87" s="155"/>
      <c r="I87" s="276"/>
      <c r="J87" s="277"/>
      <c r="K87" s="277"/>
      <c r="L87" s="628">
        <f>M82</f>
        <v>0</v>
      </c>
      <c r="M87" s="276" t="str">
        <f>Texte!A104</f>
        <v>dt TS</v>
      </c>
      <c r="N87" s="276"/>
      <c r="O87" s="276"/>
      <c r="P87" s="276"/>
      <c r="Q87" s="276"/>
      <c r="R87" s="276"/>
      <c r="S87" s="276"/>
      <c r="T87" s="276"/>
      <c r="U87" s="276"/>
      <c r="V87" s="139"/>
      <c r="W87" s="139"/>
      <c r="X87" s="140"/>
      <c r="Y87" s="139"/>
      <c r="Z87" s="139"/>
      <c r="AA87" s="139"/>
      <c r="AB87" s="139"/>
      <c r="AC87" s="139"/>
      <c r="AD87" s="139"/>
      <c r="AE87" s="150"/>
      <c r="AF87" s="282"/>
      <c r="AH87" s="283"/>
      <c r="AI87" s="149"/>
      <c r="AJ87" s="284"/>
      <c r="AL87" s="152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</row>
    <row r="88" spans="2:49" ht="12.75" customHeight="1">
      <c r="B88" s="218" t="str">
        <f>Texte!A190</f>
        <v>A4: Kraftfutterverzehr der berechtigten Kategorien</v>
      </c>
      <c r="C88" s="275"/>
      <c r="D88" s="275"/>
      <c r="E88" s="275"/>
      <c r="F88" s="155"/>
      <c r="G88" s="155"/>
      <c r="H88" s="155"/>
      <c r="I88" s="276"/>
      <c r="J88" s="277"/>
      <c r="K88" s="277"/>
      <c r="L88" s="281"/>
      <c r="M88" s="192"/>
      <c r="N88" s="628">
        <f>M68</f>
        <v>0</v>
      </c>
      <c r="O88" s="276" t="str">
        <f>Texte!A102</f>
        <v>dt FS</v>
      </c>
      <c r="P88" s="276"/>
      <c r="Q88" s="189"/>
      <c r="R88" s="189"/>
      <c r="S88" s="189"/>
      <c r="T88" s="189"/>
      <c r="V88" s="139"/>
      <c r="W88" s="139"/>
      <c r="X88" s="139"/>
      <c r="Y88" s="139"/>
      <c r="Z88" s="139"/>
      <c r="AA88" s="139"/>
      <c r="AB88" s="139"/>
      <c r="AC88" s="139"/>
      <c r="AD88" s="139"/>
      <c r="AE88" s="150"/>
      <c r="AF88" s="151"/>
      <c r="AH88" s="150"/>
      <c r="AI88" s="149"/>
      <c r="AL88" s="152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</row>
    <row r="89" spans="2:48" ht="12.75" customHeight="1">
      <c r="B89" s="218" t="str">
        <f>Texte!A191</f>
        <v>A5: Gesamtverzehr der Raufutterverzehrer</v>
      </c>
      <c r="C89" s="218"/>
      <c r="D89" s="218"/>
      <c r="E89" s="218"/>
      <c r="F89" s="155"/>
      <c r="G89" s="155"/>
      <c r="H89" s="276"/>
      <c r="I89" s="277"/>
      <c r="J89" s="277"/>
      <c r="K89" s="281"/>
      <c r="L89" s="285"/>
      <c r="M89" s="286"/>
      <c r="N89" s="628">
        <f>L86+(N88*0.88)</f>
        <v>0</v>
      </c>
      <c r="O89" s="276" t="str">
        <f>Texte!A104</f>
        <v>dt TS</v>
      </c>
      <c r="P89" s="276"/>
      <c r="Q89" s="189"/>
      <c r="R89" s="189"/>
      <c r="S89" s="189"/>
      <c r="T89" s="189"/>
      <c r="V89" s="139"/>
      <c r="W89" s="139"/>
      <c r="X89" s="139"/>
      <c r="Y89" s="139"/>
      <c r="Z89" s="139"/>
      <c r="AA89" s="139"/>
      <c r="AB89" s="139"/>
      <c r="AC89" s="139"/>
      <c r="AD89" s="139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</row>
    <row r="90" spans="2:48" ht="12.75" customHeight="1">
      <c r="B90" s="218"/>
      <c r="C90" s="218"/>
      <c r="D90" s="218"/>
      <c r="E90" s="218"/>
      <c r="F90" s="155"/>
      <c r="G90" s="155"/>
      <c r="H90" s="276"/>
      <c r="I90" s="277"/>
      <c r="J90" s="277"/>
      <c r="K90" s="281"/>
      <c r="L90" s="285"/>
      <c r="M90" s="286"/>
      <c r="N90" s="551"/>
      <c r="O90" s="276"/>
      <c r="P90" s="276"/>
      <c r="Q90" s="189"/>
      <c r="R90" s="189"/>
      <c r="S90" s="189"/>
      <c r="T90" s="189"/>
      <c r="V90" s="139"/>
      <c r="W90" s="139"/>
      <c r="X90" s="139"/>
      <c r="Y90" s="139"/>
      <c r="Z90" s="139"/>
      <c r="AA90" s="139"/>
      <c r="AB90" s="139"/>
      <c r="AC90" s="139"/>
      <c r="AD90" s="139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</row>
    <row r="91" spans="2:48" ht="12.75" customHeight="1">
      <c r="B91" s="218" t="str">
        <f>Texte!A192</f>
        <v>Sömmerung</v>
      </c>
      <c r="C91" s="218"/>
      <c r="D91" s="218"/>
      <c r="E91" s="218"/>
      <c r="F91" s="155"/>
      <c r="G91" s="155"/>
      <c r="H91" s="276"/>
      <c r="I91" s="277"/>
      <c r="J91" s="277"/>
      <c r="K91" s="281"/>
      <c r="L91" s="285"/>
      <c r="M91" s="286"/>
      <c r="N91" s="551"/>
      <c r="O91" s="276"/>
      <c r="P91" s="276"/>
      <c r="Q91" s="189"/>
      <c r="R91" s="189"/>
      <c r="S91" s="189"/>
      <c r="T91" s="189"/>
      <c r="V91" s="139"/>
      <c r="W91" s="139"/>
      <c r="X91" s="139"/>
      <c r="Y91" s="139"/>
      <c r="Z91" s="139"/>
      <c r="AA91" s="139"/>
      <c r="AB91" s="139"/>
      <c r="AC91" s="139"/>
      <c r="AD91" s="139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</row>
    <row r="92" spans="2:48" ht="12.75" customHeight="1">
      <c r="B92" s="218" t="str">
        <f>Texte!A193</f>
        <v>A6: Grundfutterverzehr Raufutterverzehrer</v>
      </c>
      <c r="C92" s="218"/>
      <c r="D92" s="218"/>
      <c r="E92" s="218"/>
      <c r="F92" s="155"/>
      <c r="G92" s="155"/>
      <c r="H92" s="276"/>
      <c r="I92" s="277"/>
      <c r="J92" s="277"/>
      <c r="K92" s="281"/>
      <c r="L92" s="628">
        <f>SUM(R41:R67)</f>
        <v>0</v>
      </c>
      <c r="M92" s="276" t="str">
        <f>Texte!A104</f>
        <v>dt TS</v>
      </c>
      <c r="N92" s="551"/>
      <c r="O92" s="276"/>
      <c r="P92" s="276"/>
      <c r="Q92" s="189"/>
      <c r="R92" s="189"/>
      <c r="S92" s="189"/>
      <c r="T92" s="189"/>
      <c r="V92" s="139"/>
      <c r="W92" s="139"/>
      <c r="X92" s="139"/>
      <c r="Y92" s="139"/>
      <c r="Z92" s="139"/>
      <c r="AA92" s="139"/>
      <c r="AB92" s="139"/>
      <c r="AC92" s="139"/>
      <c r="AD92" s="139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</row>
    <row r="93" spans="2:48" ht="12.75" customHeight="1">
      <c r="B93" s="218" t="str">
        <f>Texte!A194</f>
        <v>A7: Kraftfutterverzehr berechtigte Kategorien</v>
      </c>
      <c r="C93" s="218"/>
      <c r="D93" s="218"/>
      <c r="E93" s="218"/>
      <c r="F93" s="155"/>
      <c r="G93" s="155"/>
      <c r="H93" s="276"/>
      <c r="I93" s="277"/>
      <c r="J93" s="277"/>
      <c r="K93" s="281"/>
      <c r="L93" s="285"/>
      <c r="M93" s="286"/>
      <c r="N93" s="628">
        <f>SUM(S41:S67)*0.88</f>
        <v>0</v>
      </c>
      <c r="O93" s="276" t="str">
        <f>Texte!A104</f>
        <v>dt TS</v>
      </c>
      <c r="P93" s="276"/>
      <c r="Q93" s="189"/>
      <c r="R93" s="189"/>
      <c r="S93" s="189"/>
      <c r="T93" s="189"/>
      <c r="V93" s="139"/>
      <c r="W93" s="139"/>
      <c r="X93" s="139"/>
      <c r="Y93" s="139"/>
      <c r="Z93" s="139"/>
      <c r="AA93" s="139"/>
      <c r="AB93" s="139"/>
      <c r="AC93" s="139"/>
      <c r="AD93" s="139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</row>
    <row r="94" spans="2:48" ht="12.75" customHeight="1">
      <c r="B94" s="218" t="str">
        <f>Texte!A195</f>
        <v>A8: Sömmerungstage gemäss AniCalc (TVD-Auszug)</v>
      </c>
      <c r="C94" s="218"/>
      <c r="D94" s="218"/>
      <c r="E94" s="218"/>
      <c r="F94" s="155"/>
      <c r="G94" s="155"/>
      <c r="H94" s="276"/>
      <c r="I94" s="277"/>
      <c r="J94" s="277"/>
      <c r="K94" s="281"/>
      <c r="L94" s="285"/>
      <c r="M94" s="286"/>
      <c r="N94" s="551"/>
      <c r="O94" s="276"/>
      <c r="P94" s="276"/>
      <c r="Q94" s="189"/>
      <c r="R94" s="628">
        <f>SUM(Q41:Q60)</f>
        <v>0</v>
      </c>
      <c r="S94" s="189"/>
      <c r="T94" s="189"/>
      <c r="V94" s="139"/>
      <c r="W94" s="139"/>
      <c r="X94" s="139"/>
      <c r="Y94" s="139"/>
      <c r="Z94" s="139"/>
      <c r="AA94" s="139"/>
      <c r="AB94" s="139"/>
      <c r="AC94" s="139"/>
      <c r="AD94" s="139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</row>
    <row r="95" spans="2:48" ht="11.25" customHeight="1">
      <c r="B95" s="218"/>
      <c r="C95" s="218"/>
      <c r="D95" s="218"/>
      <c r="E95" s="218"/>
      <c r="F95" s="155"/>
      <c r="G95" s="155"/>
      <c r="H95" s="276"/>
      <c r="I95" s="277"/>
      <c r="J95" s="277"/>
      <c r="K95" s="281"/>
      <c r="L95" s="285"/>
      <c r="M95" s="286"/>
      <c r="N95" s="189"/>
      <c r="O95" s="189"/>
      <c r="P95" s="189"/>
      <c r="Q95" s="189"/>
      <c r="R95" s="189"/>
      <c r="S95" s="189"/>
      <c r="T95" s="189"/>
      <c r="U95" s="276"/>
      <c r="V95" s="139"/>
      <c r="W95" s="139"/>
      <c r="X95" s="139"/>
      <c r="Y95" s="139"/>
      <c r="Z95" s="139"/>
      <c r="AA95" s="139"/>
      <c r="AB95" s="139"/>
      <c r="AC95" s="139"/>
      <c r="AD95" s="139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</row>
    <row r="96" spans="2:48" ht="16.5" customHeight="1">
      <c r="B96" s="177" t="str">
        <f>Texte!A197</f>
        <v>Teil B: Grundfutterproduktion</v>
      </c>
      <c r="C96" s="177"/>
      <c r="D96" s="177"/>
      <c r="E96" s="177"/>
      <c r="I96" s="175"/>
      <c r="L96" s="314"/>
      <c r="N96" s="175"/>
      <c r="Q96" s="177" t="str">
        <f>Texte!A247</f>
        <v>Mutterkuh &amp; Kalb</v>
      </c>
      <c r="R96" s="175"/>
      <c r="S96" s="175"/>
      <c r="W96" s="288"/>
      <c r="Y96" s="289"/>
      <c r="Z96" s="290"/>
      <c r="AG96" s="283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</row>
    <row r="97" spans="2:48" ht="7.5" customHeight="1">
      <c r="B97" s="177"/>
      <c r="C97" s="177"/>
      <c r="D97" s="177"/>
      <c r="E97" s="177"/>
      <c r="I97" s="175"/>
      <c r="K97" s="175"/>
      <c r="L97" s="175"/>
      <c r="N97" s="175"/>
      <c r="Q97" s="175"/>
      <c r="R97" s="175"/>
      <c r="S97" s="175"/>
      <c r="Z97" s="155"/>
      <c r="AG97" s="283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</row>
    <row r="98" spans="2:48" ht="12.75" customHeight="1">
      <c r="B98" s="291"/>
      <c r="C98" s="292"/>
      <c r="D98" s="292"/>
      <c r="E98" s="292"/>
      <c r="F98" s="293"/>
      <c r="G98" s="293"/>
      <c r="H98" s="293"/>
      <c r="I98" s="294" t="str">
        <f>Texte!A198</f>
        <v>Stand.</v>
      </c>
      <c r="J98" s="295" t="str">
        <f>Texte!A201</f>
        <v>Fläche</v>
      </c>
      <c r="K98" s="295" t="str">
        <f>Texte!A200</f>
        <v>Ertrag</v>
      </c>
      <c r="L98" s="295" t="str">
        <f>Texte!A203</f>
        <v>Menge</v>
      </c>
      <c r="Q98" s="597" t="str">
        <f>Texte!A248</f>
        <v>davon verfüttert an</v>
      </c>
      <c r="R98" s="365"/>
      <c r="S98" s="175"/>
      <c r="Z98" s="155"/>
      <c r="AE98" s="296"/>
      <c r="AG98" s="283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</row>
    <row r="99" spans="2:48" ht="12.75" customHeight="1">
      <c r="B99" s="297"/>
      <c r="C99" s="196"/>
      <c r="D99" s="196"/>
      <c r="E99" s="196"/>
      <c r="F99" s="197"/>
      <c r="G99" s="197"/>
      <c r="H99" s="197"/>
      <c r="I99" s="298" t="str">
        <f>Texte!A199</f>
        <v>Ertrag</v>
      </c>
      <c r="J99" s="241" t="s">
        <v>387</v>
      </c>
      <c r="K99" s="241" t="str">
        <f>Texte!A202</f>
        <v>dt TS/ha</v>
      </c>
      <c r="L99" s="241" t="str">
        <f>Texte!A204</f>
        <v>dt TS</v>
      </c>
      <c r="Q99" s="602" t="str">
        <f>Texte!A249</f>
        <v>Mutterkuh &amp; Kalb dt TS</v>
      </c>
      <c r="R99" s="371"/>
      <c r="W99" s="181" t="s">
        <v>328</v>
      </c>
      <c r="Z99" s="155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</row>
    <row r="100" spans="2:48" ht="12.75" customHeight="1">
      <c r="B100" s="299" t="str">
        <f>Texte!A208</f>
        <v>Ganzpflanzenmais, Silomais</v>
      </c>
      <c r="C100" s="300"/>
      <c r="D100" s="300"/>
      <c r="E100" s="300"/>
      <c r="F100" s="300"/>
      <c r="G100" s="300"/>
      <c r="H100" s="301"/>
      <c r="I100" s="108">
        <v>185</v>
      </c>
      <c r="J100" s="76"/>
      <c r="K100" s="77"/>
      <c r="L100" s="629">
        <f>J100*K100</f>
        <v>0</v>
      </c>
      <c r="Q100" s="598"/>
      <c r="R100" s="599"/>
      <c r="S100" s="175">
        <f>IF($Q100&gt;$L100,Texte!A$250,"")</f>
      </c>
      <c r="W100" s="181" t="b">
        <f aca="true" t="shared" si="7" ref="W100:W106">IF(AND(ISBLANK(Q100),L100&lt;&gt;0),1)</f>
        <v>0</v>
      </c>
      <c r="Z100" s="155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</row>
    <row r="101" spans="2:48" ht="12.75" customHeight="1">
      <c r="B101" s="302" t="str">
        <f>Texte!A209</f>
        <v>Getreide-Silage</v>
      </c>
      <c r="C101" s="252"/>
      <c r="D101" s="252"/>
      <c r="E101" s="252"/>
      <c r="F101" s="252"/>
      <c r="G101" s="252"/>
      <c r="H101" s="649"/>
      <c r="I101" s="108">
        <v>106</v>
      </c>
      <c r="J101" s="76"/>
      <c r="K101" s="660">
        <v>106</v>
      </c>
      <c r="L101" s="629">
        <f>J101*K101</f>
        <v>0</v>
      </c>
      <c r="Q101" s="650"/>
      <c r="R101" s="651"/>
      <c r="S101" s="175"/>
      <c r="W101" s="181" t="b">
        <f t="shared" si="7"/>
        <v>0</v>
      </c>
      <c r="Z101" s="155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</row>
    <row r="102" spans="2:48" ht="12.75" customHeight="1">
      <c r="B102" s="302" t="str">
        <f>Texte!A210</f>
        <v>Getreide-Silage mit Leguminosen</v>
      </c>
      <c r="C102" s="252"/>
      <c r="D102" s="252"/>
      <c r="E102" s="252"/>
      <c r="F102" s="252"/>
      <c r="G102" s="252"/>
      <c r="H102" s="649"/>
      <c r="I102" s="108">
        <v>106</v>
      </c>
      <c r="J102" s="76"/>
      <c r="K102" s="660">
        <v>106</v>
      </c>
      <c r="L102" s="629">
        <f>J102*K102</f>
        <v>0</v>
      </c>
      <c r="Q102" s="650"/>
      <c r="R102" s="651"/>
      <c r="S102" s="175"/>
      <c r="W102" s="181" t="b">
        <f t="shared" si="7"/>
        <v>0</v>
      </c>
      <c r="Z102" s="155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</row>
    <row r="103" spans="2:48" ht="12.75" customHeight="1">
      <c r="B103" s="302" t="str">
        <f>Texte!A211</f>
        <v>Futterrüben (ohne Blätter)</v>
      </c>
      <c r="C103" s="303"/>
      <c r="D103" s="303"/>
      <c r="E103" s="303"/>
      <c r="F103" s="303"/>
      <c r="G103" s="303"/>
      <c r="H103" s="304"/>
      <c r="I103" s="108">
        <v>175</v>
      </c>
      <c r="J103" s="76"/>
      <c r="K103" s="77"/>
      <c r="L103" s="629">
        <f>J103*K103</f>
        <v>0</v>
      </c>
      <c r="Q103" s="600"/>
      <c r="R103" s="601"/>
      <c r="S103" s="175">
        <f>IF($Q103&gt;$L103,Texte!A$250,"")</f>
      </c>
      <c r="W103" s="181" t="b">
        <f t="shared" si="7"/>
        <v>0</v>
      </c>
      <c r="Z103" s="155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</row>
    <row r="104" spans="2:48" ht="12.75" customHeight="1">
      <c r="B104" s="302" t="str">
        <f>Texte!A212</f>
        <v>Grünmais (2. Kultur)</v>
      </c>
      <c r="C104" s="303"/>
      <c r="D104" s="303"/>
      <c r="E104" s="303"/>
      <c r="F104" s="303"/>
      <c r="G104" s="303"/>
      <c r="H104" s="304"/>
      <c r="I104" s="108">
        <v>60</v>
      </c>
      <c r="J104" s="76"/>
      <c r="K104" s="77"/>
      <c r="L104" s="629">
        <f>J104*K104</f>
        <v>0</v>
      </c>
      <c r="N104" s="307"/>
      <c r="Q104" s="600"/>
      <c r="R104" s="601"/>
      <c r="S104" s="175">
        <f>IF($Q104&gt;$L104,Texte!A$250,"")</f>
      </c>
      <c r="W104" s="181" t="b">
        <f t="shared" si="7"/>
        <v>0</v>
      </c>
      <c r="Z104" s="155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</row>
    <row r="105" spans="2:48" ht="12.75" customHeight="1">
      <c r="B105" s="302" t="str">
        <f>Texte!A213</f>
        <v>Verfüttertes Stroh (nur betriebseigenes)</v>
      </c>
      <c r="C105" s="303"/>
      <c r="D105" s="303"/>
      <c r="E105" s="303"/>
      <c r="F105" s="303"/>
      <c r="G105" s="303"/>
      <c r="H105" s="304"/>
      <c r="I105" s="108">
        <v>40</v>
      </c>
      <c r="J105" s="305"/>
      <c r="K105" s="306"/>
      <c r="L105" s="94"/>
      <c r="N105" s="307"/>
      <c r="Q105" s="600"/>
      <c r="R105" s="601"/>
      <c r="S105" s="175">
        <f>IF($Q105&gt;$L105,Texte!A$250,"")</f>
      </c>
      <c r="W105" s="181" t="b">
        <f t="shared" si="7"/>
        <v>0</v>
      </c>
      <c r="Z105" s="313" t="s">
        <v>829</v>
      </c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</row>
    <row r="106" spans="2:48" ht="12.75" customHeight="1">
      <c r="B106" s="308" t="str">
        <f>Texte!A214</f>
        <v>Verfütterte Rübenblätter (nur betriebseigene)</v>
      </c>
      <c r="C106" s="309"/>
      <c r="D106" s="309"/>
      <c r="E106" s="309"/>
      <c r="F106" s="309"/>
      <c r="G106" s="309"/>
      <c r="H106" s="310"/>
      <c r="I106" s="109">
        <v>50</v>
      </c>
      <c r="J106" s="311"/>
      <c r="K106" s="312"/>
      <c r="L106" s="95"/>
      <c r="Q106" s="600"/>
      <c r="R106" s="601"/>
      <c r="S106" s="175">
        <f>IF($Q106&gt;$L106,Texte!A$250,"")</f>
      </c>
      <c r="W106" s="181" t="b">
        <f t="shared" si="7"/>
        <v>0</v>
      </c>
      <c r="Z106" s="366" t="s">
        <v>1263</v>
      </c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</row>
    <row r="107" spans="2:48" ht="12.75" customHeight="1">
      <c r="B107" s="299" t="str">
        <f>Texte!A215</f>
        <v>Zwischenfutter, Aeugstlen, Frühjahrsschnitt vor Umbruch</v>
      </c>
      <c r="C107" s="300"/>
      <c r="D107" s="300"/>
      <c r="E107" s="300"/>
      <c r="F107" s="300"/>
      <c r="G107" s="300"/>
      <c r="H107" s="301"/>
      <c r="I107" s="110">
        <v>25</v>
      </c>
      <c r="J107" s="499"/>
      <c r="K107" s="76">
        <v>25</v>
      </c>
      <c r="L107" s="630">
        <f aca="true" t="shared" si="8" ref="L107:L114">J107*K107</f>
        <v>0</v>
      </c>
      <c r="Q107" s="592"/>
      <c r="R107" s="593"/>
      <c r="S107" s="315"/>
      <c r="W107" s="181">
        <f>SUM(W100:W106)</f>
        <v>0</v>
      </c>
      <c r="X107" s="642" t="s">
        <v>329</v>
      </c>
      <c r="Y107" s="181">
        <v>25</v>
      </c>
      <c r="Z107" s="446">
        <f>IF($K107&gt;$Y107,1,"")</f>
      </c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</row>
    <row r="108" spans="2:48" ht="12.75" customHeight="1">
      <c r="B108" s="302" t="str">
        <f>Texte!A216</f>
        <v>Samenproduktion: Leguminosen Reinbestand</v>
      </c>
      <c r="C108" s="303"/>
      <c r="D108" s="303"/>
      <c r="E108" s="303"/>
      <c r="F108" s="303"/>
      <c r="G108" s="303"/>
      <c r="H108" s="304"/>
      <c r="I108" s="111" t="s">
        <v>608</v>
      </c>
      <c r="J108" s="76"/>
      <c r="K108" s="76"/>
      <c r="L108" s="629">
        <f t="shared" si="8"/>
        <v>0</v>
      </c>
      <c r="Q108" s="594"/>
      <c r="R108" s="595"/>
      <c r="S108" s="315"/>
      <c r="Y108" s="181">
        <v>120</v>
      </c>
      <c r="Z108" s="446">
        <f>IF($K108&gt;$Y108,1,"")</f>
      </c>
      <c r="AA108" s="28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</row>
    <row r="109" spans="2:48" ht="12.75" customHeight="1">
      <c r="B109" s="302" t="str">
        <f>Texte!A217</f>
        <v>Samenproduktion: Gras Reinbestand</v>
      </c>
      <c r="C109" s="303"/>
      <c r="D109" s="303"/>
      <c r="E109" s="303"/>
      <c r="F109" s="303"/>
      <c r="G109" s="303"/>
      <c r="H109" s="304"/>
      <c r="I109" s="111" t="s">
        <v>608</v>
      </c>
      <c r="J109" s="76"/>
      <c r="K109" s="76"/>
      <c r="L109" s="629">
        <f t="shared" si="8"/>
        <v>0</v>
      </c>
      <c r="N109" s="314"/>
      <c r="Q109" s="594"/>
      <c r="R109" s="595"/>
      <c r="S109" s="587"/>
      <c r="Y109" s="181">
        <v>180</v>
      </c>
      <c r="Z109" s="446">
        <f aca="true" t="shared" si="9" ref="Z109:Z115">IF($K109&gt;$Y109,1,"")</f>
      </c>
      <c r="AA109" s="28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</row>
    <row r="110" spans="2:48" ht="12.75" customHeight="1">
      <c r="B110" s="302" t="str">
        <f>Texte!A218</f>
        <v>Extensive Wiesen</v>
      </c>
      <c r="C110" s="303"/>
      <c r="D110" s="303"/>
      <c r="E110" s="303"/>
      <c r="F110" s="303"/>
      <c r="G110" s="303"/>
      <c r="H110" s="304"/>
      <c r="I110" s="111" t="s">
        <v>809</v>
      </c>
      <c r="J110" s="76"/>
      <c r="K110" s="76"/>
      <c r="L110" s="629">
        <f t="shared" si="8"/>
        <v>0</v>
      </c>
      <c r="N110" s="314"/>
      <c r="Q110" s="594"/>
      <c r="R110" s="595"/>
      <c r="S110" s="587"/>
      <c r="Y110" s="181">
        <v>30</v>
      </c>
      <c r="Z110" s="446">
        <f t="shared" si="9"/>
      </c>
      <c r="AA110" s="28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</row>
    <row r="111" spans="2:48" ht="12.75" customHeight="1">
      <c r="B111" s="302" t="str">
        <f>Texte!A219</f>
        <v>Übrige Wiesen mit Düngeverbot</v>
      </c>
      <c r="C111" s="303"/>
      <c r="D111" s="303"/>
      <c r="E111" s="303"/>
      <c r="F111" s="303"/>
      <c r="G111" s="303"/>
      <c r="H111" s="304"/>
      <c r="I111" s="111" t="s">
        <v>809</v>
      </c>
      <c r="J111" s="76"/>
      <c r="K111" s="76"/>
      <c r="L111" s="629">
        <f t="shared" si="8"/>
        <v>0</v>
      </c>
      <c r="N111" s="314"/>
      <c r="Q111" s="594"/>
      <c r="R111" s="595"/>
      <c r="S111" s="587"/>
      <c r="Y111" s="181">
        <v>30</v>
      </c>
      <c r="Z111" s="446">
        <f t="shared" si="9"/>
      </c>
      <c r="AA111" s="28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</row>
    <row r="112" spans="2:48" ht="12.75" customHeight="1">
      <c r="B112" s="302" t="str">
        <f>Texte!A220</f>
        <v>Extensive Weiden, Waldweiden</v>
      </c>
      <c r="C112" s="303"/>
      <c r="D112" s="303"/>
      <c r="E112" s="303"/>
      <c r="F112" s="303"/>
      <c r="G112" s="303"/>
      <c r="H112" s="304"/>
      <c r="I112" s="111" t="s">
        <v>609</v>
      </c>
      <c r="J112" s="76"/>
      <c r="K112" s="76"/>
      <c r="L112" s="629">
        <f t="shared" si="8"/>
        <v>0</v>
      </c>
      <c r="N112" s="314"/>
      <c r="Q112" s="594"/>
      <c r="R112" s="595"/>
      <c r="S112" s="587"/>
      <c r="Y112" s="181">
        <v>25</v>
      </c>
      <c r="Z112" s="446">
        <f t="shared" si="9"/>
      </c>
      <c r="AA112" s="28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</row>
    <row r="113" spans="2:48" ht="12.75" customHeight="1">
      <c r="B113" s="302" t="str">
        <f>Texte!A221</f>
        <v>Wiesen und Weiden</v>
      </c>
      <c r="C113" s="303"/>
      <c r="D113" s="303"/>
      <c r="E113" s="303" t="str">
        <f>Texte!A222</f>
        <v>wenig intensiv (1-3 Nutzungen)</v>
      </c>
      <c r="F113" s="303"/>
      <c r="G113" s="303"/>
      <c r="H113" s="304"/>
      <c r="I113" s="111" t="s">
        <v>811</v>
      </c>
      <c r="J113" s="76"/>
      <c r="K113" s="76"/>
      <c r="L113" s="629">
        <f t="shared" si="8"/>
        <v>0</v>
      </c>
      <c r="N113" s="314"/>
      <c r="Q113" s="594"/>
      <c r="R113" s="595"/>
      <c r="S113" s="587"/>
      <c r="Y113" s="181">
        <v>65</v>
      </c>
      <c r="Z113" s="446">
        <f t="shared" si="9"/>
      </c>
      <c r="AA113" s="28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</row>
    <row r="114" spans="2:48" ht="12.75" customHeight="1">
      <c r="B114" s="302"/>
      <c r="C114" s="303"/>
      <c r="D114" s="303"/>
      <c r="E114" s="303" t="str">
        <f>Texte!A223</f>
        <v>mittelintensiv (1-4 Nutzungen)</v>
      </c>
      <c r="F114" s="303"/>
      <c r="G114" s="303"/>
      <c r="H114" s="304"/>
      <c r="I114" s="111" t="s">
        <v>168</v>
      </c>
      <c r="J114" s="76"/>
      <c r="K114" s="76"/>
      <c r="L114" s="629">
        <f t="shared" si="8"/>
        <v>0</v>
      </c>
      <c r="N114" s="314"/>
      <c r="Q114" s="594"/>
      <c r="R114" s="595"/>
      <c r="S114" s="587"/>
      <c r="Y114" s="181">
        <v>100</v>
      </c>
      <c r="Z114" s="446">
        <f t="shared" si="9"/>
      </c>
      <c r="AA114" s="28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</row>
    <row r="115" spans="2:48" ht="12.75" customHeight="1">
      <c r="B115" s="421"/>
      <c r="C115" s="422"/>
      <c r="D115" s="422"/>
      <c r="E115" s="422" t="str">
        <f>Texte!A224</f>
        <v>intensive (2-6 Nutzungen)</v>
      </c>
      <c r="F115" s="422"/>
      <c r="G115" s="422"/>
      <c r="H115" s="423"/>
      <c r="I115" s="111" t="s">
        <v>169</v>
      </c>
      <c r="J115" s="76"/>
      <c r="K115" s="427">
        <f>IF($J$115="","",(L164-SUM(L100:L114))/J115)</f>
      </c>
      <c r="L115" s="631">
        <f>IF($J$115="",$L$164-SUM($L$100:$L$114),$J$115*$K$115)</f>
        <v>0</v>
      </c>
      <c r="N115" s="314"/>
      <c r="Q115" s="596"/>
      <c r="R115" s="312"/>
      <c r="S115" s="587"/>
      <c r="Y115" s="181">
        <v>135</v>
      </c>
      <c r="Z115" s="446">
        <f t="shared" si="9"/>
      </c>
      <c r="AA115" s="28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</row>
    <row r="116" spans="2:48" ht="12.75" customHeight="1">
      <c r="B116" s="316"/>
      <c r="C116" s="316"/>
      <c r="D116" s="316"/>
      <c r="E116" s="316"/>
      <c r="F116" s="175">
        <f>IF(AND(ROUND($L$115,0)&lt;&gt;0,$J$115=""),Texte!A246,"")</f>
      </c>
      <c r="I116" s="293"/>
      <c r="J116" s="512"/>
      <c r="L116" s="287"/>
      <c r="M116" s="287">
        <f>IF(COUNT($Z$107:$Z$115)&gt;0,Texte!$A$230,"")</f>
      </c>
      <c r="N116" s="317"/>
      <c r="O116" s="555"/>
      <c r="P116" s="555"/>
      <c r="Q116" s="555"/>
      <c r="R116" s="545"/>
      <c r="S116" s="545"/>
      <c r="T116" s="545"/>
      <c r="Z116" s="155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</row>
    <row r="117" spans="2:48" ht="12.75" customHeight="1">
      <c r="B117" s="316" t="str">
        <f>Texte!A225</f>
        <v>Grünfläche</v>
      </c>
      <c r="C117" s="316"/>
      <c r="D117" s="316"/>
      <c r="E117" s="316"/>
      <c r="I117" s="155"/>
      <c r="J117" s="632">
        <f>SUM(J108:J115)</f>
        <v>0</v>
      </c>
      <c r="K117" s="173" t="s">
        <v>387</v>
      </c>
      <c r="N117" s="287"/>
      <c r="O117" s="396"/>
      <c r="P117" s="396"/>
      <c r="Q117" s="477"/>
      <c r="R117" s="477"/>
      <c r="S117" s="477"/>
      <c r="T117" s="477"/>
      <c r="Y117" s="181"/>
      <c r="Z117" s="313" t="s">
        <v>1280</v>
      </c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</row>
    <row r="118" spans="2:48" ht="12.75" customHeight="1">
      <c r="B118" s="316" t="str">
        <f>Texte!A226</f>
        <v>Zwischenfutterfläche</v>
      </c>
      <c r="C118" s="316"/>
      <c r="D118" s="316"/>
      <c r="E118" s="316"/>
      <c r="I118" s="155"/>
      <c r="J118" s="632">
        <f>SUM(J104,J107)</f>
        <v>0</v>
      </c>
      <c r="K118" s="173" t="s">
        <v>387</v>
      </c>
      <c r="O118" s="307"/>
      <c r="P118" s="307"/>
      <c r="Q118" s="410"/>
      <c r="R118" s="410"/>
      <c r="S118" s="410"/>
      <c r="T118" s="410"/>
      <c r="Y118" s="313" t="s">
        <v>1281</v>
      </c>
      <c r="Z118" s="474">
        <f>SUM(J110,J112,J113)</f>
        <v>0</v>
      </c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</row>
    <row r="119" spans="2:48" ht="12.75" customHeight="1">
      <c r="B119" s="316" t="str">
        <f>Texte!A227</f>
        <v>B1: Grundfutterproduktion total</v>
      </c>
      <c r="C119" s="316"/>
      <c r="D119" s="316"/>
      <c r="E119" s="316"/>
      <c r="I119" s="155"/>
      <c r="J119" s="319"/>
      <c r="K119" s="173"/>
      <c r="L119" s="633">
        <f>SUM(L100:L115)</f>
        <v>0</v>
      </c>
      <c r="M119" s="149" t="str">
        <f>Texte!A104</f>
        <v>dt TS</v>
      </c>
      <c r="N119" s="175"/>
      <c r="O119" s="318"/>
      <c r="P119" s="318"/>
      <c r="Q119" s="318"/>
      <c r="R119" s="318"/>
      <c r="S119" s="318"/>
      <c r="T119" s="318"/>
      <c r="Y119" s="313" t="s">
        <v>1282</v>
      </c>
      <c r="Z119" s="474">
        <f>SUM(Q109:Q115)</f>
        <v>0</v>
      </c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</row>
    <row r="120" spans="2:48" ht="12.75" customHeight="1">
      <c r="B120" s="316" t="str">
        <f>Texte!A228</f>
        <v>B2: Grundfutterproduktion Wiesen und Weiden</v>
      </c>
      <c r="C120" s="316"/>
      <c r="D120" s="316"/>
      <c r="E120" s="316"/>
      <c r="I120" s="155"/>
      <c r="J120" s="319"/>
      <c r="K120" s="173"/>
      <c r="L120" s="633">
        <f>SUM(L107:L115)</f>
        <v>0</v>
      </c>
      <c r="M120" s="149" t="str">
        <f>Texte!A104</f>
        <v>dt TS</v>
      </c>
      <c r="N120" s="175"/>
      <c r="O120" s="175"/>
      <c r="P120" s="175"/>
      <c r="Q120" s="175"/>
      <c r="R120" s="175"/>
      <c r="S120" s="175"/>
      <c r="T120" s="175"/>
      <c r="Y120" s="313" t="s">
        <v>1283</v>
      </c>
      <c r="Z120" s="474">
        <f>SUM(R109:R115)</f>
        <v>0</v>
      </c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</row>
    <row r="121" spans="2:48" ht="12.75" customHeight="1">
      <c r="B121" s="316" t="str">
        <f>Texte!A229</f>
        <v>B3: Grundfutterproduktion übrige</v>
      </c>
      <c r="C121" s="316"/>
      <c r="D121" s="316"/>
      <c r="E121" s="316"/>
      <c r="I121" s="155"/>
      <c r="J121" s="319"/>
      <c r="K121" s="173"/>
      <c r="L121" s="633">
        <f>SUM(L100:L106)</f>
        <v>0</v>
      </c>
      <c r="M121" s="149" t="str">
        <f>Texte!A104</f>
        <v>dt TS</v>
      </c>
      <c r="N121" s="175"/>
      <c r="O121" s="175"/>
      <c r="P121" s="175"/>
      <c r="Q121" s="175"/>
      <c r="R121" s="175"/>
      <c r="S121" s="175"/>
      <c r="T121" s="175"/>
      <c r="Y121" s="313" t="s">
        <v>1284</v>
      </c>
      <c r="Z121" s="474">
        <f>IF(Z120&gt;Z118,"ja","")</f>
      </c>
      <c r="AA121" s="173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</row>
    <row r="122" spans="2:48" ht="11.25" customHeight="1">
      <c r="B122" s="316"/>
      <c r="C122" s="316"/>
      <c r="D122" s="316"/>
      <c r="E122" s="316"/>
      <c r="I122" s="155"/>
      <c r="J122" s="319"/>
      <c r="N122" s="175"/>
      <c r="O122" s="175"/>
      <c r="P122" s="175"/>
      <c r="Q122" s="175"/>
      <c r="R122" s="175"/>
      <c r="S122" s="175"/>
      <c r="T122" s="175"/>
      <c r="Y122" s="313" t="s">
        <v>1285</v>
      </c>
      <c r="Z122" s="474">
        <f>IF(O116&lt;&gt;J117,"ja","")</f>
      </c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</row>
    <row r="123" spans="2:48" ht="15.75" customHeight="1">
      <c r="B123" s="321" t="str">
        <f>Texte!A252</f>
        <v>Teil C: Zu- und Wegfuhr Grundfutter</v>
      </c>
      <c r="C123" s="218"/>
      <c r="D123" s="218"/>
      <c r="E123" s="218"/>
      <c r="F123" s="155"/>
      <c r="G123" s="155"/>
      <c r="H123" s="276"/>
      <c r="I123" s="277"/>
      <c r="J123" s="277"/>
      <c r="K123" s="281"/>
      <c r="L123" s="281"/>
      <c r="M123" s="276"/>
      <c r="N123" s="276"/>
      <c r="Q123" s="321" t="str">
        <f>Texte!A302</f>
        <v>Mutterkuh &amp; Kalb</v>
      </c>
      <c r="R123" s="276"/>
      <c r="S123" s="276"/>
      <c r="U123" s="276"/>
      <c r="V123" s="139"/>
      <c r="W123" s="139"/>
      <c r="X123" s="139"/>
      <c r="Y123" s="313" t="s">
        <v>1286</v>
      </c>
      <c r="Z123" s="474">
        <f>IF(AND(Z120=0,Z118&lt;&gt;0),"ja","")</f>
      </c>
      <c r="AA123" s="139"/>
      <c r="AB123" s="139"/>
      <c r="AC123" s="139"/>
      <c r="AD123" s="139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</row>
    <row r="124" spans="2:48" ht="7.5" customHeight="1">
      <c r="B124" s="321"/>
      <c r="C124" s="218"/>
      <c r="D124" s="218"/>
      <c r="E124" s="218"/>
      <c r="F124" s="155"/>
      <c r="G124" s="155"/>
      <c r="H124" s="276"/>
      <c r="I124" s="277"/>
      <c r="J124" s="277"/>
      <c r="K124" s="281"/>
      <c r="L124" s="281"/>
      <c r="M124" s="276"/>
      <c r="N124" s="276"/>
      <c r="Q124" s="276"/>
      <c r="R124" s="276"/>
      <c r="S124" s="276"/>
      <c r="U124" s="276"/>
      <c r="V124" s="322"/>
      <c r="W124" s="322"/>
      <c r="X124" s="322"/>
      <c r="Y124" s="322"/>
      <c r="Z124" s="276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</row>
    <row r="125" spans="2:48" ht="12.75" customHeight="1">
      <c r="B125" s="291" t="str">
        <f>Texte!A253</f>
        <v>Grundfutterverzehr auf dem Betrieb</v>
      </c>
      <c r="C125" s="323"/>
      <c r="D125" s="323"/>
      <c r="E125" s="323"/>
      <c r="F125" s="293"/>
      <c r="G125" s="293"/>
      <c r="H125" s="324"/>
      <c r="I125" s="325"/>
      <c r="J125" s="325"/>
      <c r="K125" s="326"/>
      <c r="L125" s="320">
        <f>L85</f>
        <v>0</v>
      </c>
      <c r="M125" s="276" t="str">
        <f>Texte!A104</f>
        <v>dt TS</v>
      </c>
      <c r="N125" s="276"/>
      <c r="Q125" s="608" t="str">
        <f>Texte!A303</f>
        <v>davon verfüttert an</v>
      </c>
      <c r="R125" s="609"/>
      <c r="S125" s="276"/>
      <c r="U125" s="276"/>
      <c r="V125" s="322"/>
      <c r="W125" s="322"/>
      <c r="X125" s="322"/>
      <c r="Y125" s="322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</row>
    <row r="126" spans="2:48" ht="12.75" customHeight="1">
      <c r="B126" s="327" t="str">
        <f>Texte!A254</f>
        <v>Zu- und Wegfuhr von Grundfutter und Grundfutterproduktion ausserhalb der Futterfläche (FF)</v>
      </c>
      <c r="C126" s="323"/>
      <c r="D126" s="323"/>
      <c r="E126" s="323"/>
      <c r="F126" s="293"/>
      <c r="G126" s="293"/>
      <c r="H126" s="324"/>
      <c r="I126" s="325"/>
      <c r="J126" s="325"/>
      <c r="K126" s="326"/>
      <c r="L126" s="328"/>
      <c r="M126" s="276"/>
      <c r="N126" s="276"/>
      <c r="Q126" s="611" t="str">
        <f>Texte!A304</f>
        <v>Mutterkuh &amp; Kalb</v>
      </c>
      <c r="R126" s="612"/>
      <c r="S126" s="276"/>
      <c r="U126" s="276"/>
      <c r="V126" s="322"/>
      <c r="W126" s="468" t="s">
        <v>1269</v>
      </c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</row>
    <row r="127" spans="2:48" ht="12.75" customHeight="1">
      <c r="B127" s="327" t="str">
        <f>Texte!A255</f>
        <v>Grundfuttertyp</v>
      </c>
      <c r="C127" s="323"/>
      <c r="D127" s="323"/>
      <c r="E127" s="323"/>
      <c r="F127" s="329" t="str">
        <f>Texte!A256</f>
        <v>Menge</v>
      </c>
      <c r="G127" s="329" t="str">
        <f>Texte!A258</f>
        <v>%</v>
      </c>
      <c r="H127" s="330" t="str">
        <f>Texte!A260</f>
        <v>Code</v>
      </c>
      <c r="I127" s="331" t="str">
        <f>Texte!A261</f>
        <v>Wegfuhr</v>
      </c>
      <c r="J127" s="331" t="str">
        <f>Texte!A265</f>
        <v>Zufuhr</v>
      </c>
      <c r="K127" s="332" t="str">
        <f>Texte!A266</f>
        <v>ausser FF</v>
      </c>
      <c r="L127" s="328"/>
      <c r="M127" s="276" t="str">
        <f>Texte!A260</f>
        <v>Code</v>
      </c>
      <c r="N127" s="276"/>
      <c r="Q127" s="613" t="str">
        <f>Texte!A305</f>
        <v>Menge</v>
      </c>
      <c r="R127" s="614"/>
      <c r="S127" s="276"/>
      <c r="U127" s="276"/>
      <c r="V127" s="322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</row>
    <row r="128" spans="2:48" ht="12.75" customHeight="1">
      <c r="B128" s="333"/>
      <c r="C128" s="218"/>
      <c r="D128" s="218"/>
      <c r="E128" s="218"/>
      <c r="F128" s="334" t="str">
        <f>Texte!A257</f>
        <v>dt</v>
      </c>
      <c r="G128" s="334" t="str">
        <f>Texte!A259</f>
        <v>TS</v>
      </c>
      <c r="H128" s="335" t="s">
        <v>794</v>
      </c>
      <c r="I128" s="336" t="str">
        <f>Texte!A262</f>
        <v>dt TS</v>
      </c>
      <c r="J128" s="336" t="str">
        <f>Texte!A262</f>
        <v>dt TS</v>
      </c>
      <c r="K128" s="336" t="str">
        <f>Texte!A262</f>
        <v>dt TS</v>
      </c>
      <c r="L128" s="328"/>
      <c r="M128" s="276" t="str">
        <f>Texte!A205</f>
        <v>1 = Verkauf</v>
      </c>
      <c r="N128" s="276"/>
      <c r="Q128" s="603" t="str">
        <f>Texte!A306</f>
        <v>dt TS</v>
      </c>
      <c r="R128" s="226"/>
      <c r="S128" s="276"/>
      <c r="W128" s="337">
        <v>1</v>
      </c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</row>
    <row r="129" spans="2:48" ht="12.75" customHeight="1">
      <c r="B129" s="299" t="str">
        <f>Texte!A268</f>
        <v>Gras</v>
      </c>
      <c r="C129" s="300"/>
      <c r="D129" s="300"/>
      <c r="E129" s="300"/>
      <c r="F129" s="90"/>
      <c r="G129" s="3"/>
      <c r="H129" s="51"/>
      <c r="I129" s="634">
        <f aca="true" t="shared" si="10" ref="I129:I140">IF(H129=1,F129*G129/100,"")</f>
      </c>
      <c r="J129" s="634">
        <f aca="true" t="shared" si="11" ref="J129:J152">IF(H129=2,F129*G129/100,"")</f>
      </c>
      <c r="K129" s="338"/>
      <c r="L129" s="328"/>
      <c r="M129" s="276" t="str">
        <f>Texte!A206</f>
        <v>2 = Zukauf</v>
      </c>
      <c r="N129" s="276"/>
      <c r="Q129" s="592"/>
      <c r="R129" s="593"/>
      <c r="S129" s="276"/>
      <c r="W129" s="337">
        <v>2</v>
      </c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</row>
    <row r="130" spans="2:48" ht="12.75" customHeight="1">
      <c r="B130" s="339" t="str">
        <f>Texte!A269</f>
        <v>Grassilage</v>
      </c>
      <c r="C130" s="252"/>
      <c r="D130" s="252"/>
      <c r="E130" s="252"/>
      <c r="F130" s="90"/>
      <c r="G130" s="3"/>
      <c r="H130" s="51"/>
      <c r="I130" s="626">
        <f t="shared" si="10"/>
      </c>
      <c r="J130" s="626">
        <f t="shared" si="11"/>
      </c>
      <c r="K130" s="341"/>
      <c r="L130" s="328"/>
      <c r="M130" s="276" t="str">
        <f>Texte!A207</f>
        <v>3 = ausserhalb FF</v>
      </c>
      <c r="Q130" s="594"/>
      <c r="R130" s="595"/>
      <c r="W130" s="342">
        <v>3</v>
      </c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</row>
    <row r="131" spans="2:48" ht="12.75" customHeight="1">
      <c r="B131" s="339" t="str">
        <f>Texte!A270</f>
        <v>Graswürfel</v>
      </c>
      <c r="C131" s="252"/>
      <c r="D131" s="252"/>
      <c r="E131" s="252"/>
      <c r="F131" s="90"/>
      <c r="G131" s="3"/>
      <c r="H131" s="51"/>
      <c r="I131" s="626">
        <f t="shared" si="10"/>
      </c>
      <c r="J131" s="626">
        <f t="shared" si="11"/>
      </c>
      <c r="K131" s="341"/>
      <c r="L131" s="328"/>
      <c r="M131" s="276"/>
      <c r="N131" s="276"/>
      <c r="Q131" s="594"/>
      <c r="R131" s="595"/>
      <c r="S131" s="276"/>
      <c r="U131" s="192"/>
      <c r="V131" s="276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</row>
    <row r="132" spans="2:48" ht="12.75" customHeight="1">
      <c r="B132" s="251" t="str">
        <f>Texte!A271</f>
        <v>Dürrfutter</v>
      </c>
      <c r="C132" s="252"/>
      <c r="D132" s="252"/>
      <c r="E132" s="252"/>
      <c r="F132" s="91"/>
      <c r="G132" s="4"/>
      <c r="H132" s="51"/>
      <c r="I132" s="626">
        <f t="shared" si="10"/>
      </c>
      <c r="J132" s="626">
        <f t="shared" si="11"/>
      </c>
      <c r="K132" s="341"/>
      <c r="L132" s="328"/>
      <c r="Q132" s="594"/>
      <c r="R132" s="595"/>
      <c r="V132" s="276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</row>
    <row r="133" spans="2:48" ht="12.75" customHeight="1">
      <c r="B133" s="217" t="str">
        <f>Texte!A272</f>
        <v>Dürrfutter, "nährstoffarm"</v>
      </c>
      <c r="C133" s="275"/>
      <c r="D133" s="275"/>
      <c r="E133" s="275"/>
      <c r="F133" s="92"/>
      <c r="G133" s="54"/>
      <c r="H133" s="51"/>
      <c r="I133" s="625">
        <f t="shared" si="10"/>
      </c>
      <c r="J133" s="625">
        <f t="shared" si="11"/>
      </c>
      <c r="K133" s="341"/>
      <c r="L133" s="328"/>
      <c r="M133" s="276"/>
      <c r="N133" s="276"/>
      <c r="Q133" s="594"/>
      <c r="R133" s="595"/>
      <c r="S133" s="276"/>
      <c r="U133" s="276"/>
      <c r="V133" s="276"/>
      <c r="W133" s="181" t="s">
        <v>328</v>
      </c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</row>
    <row r="134" spans="2:48" ht="12.75" customHeight="1">
      <c r="B134" s="430" t="str">
        <f>Texte!A273</f>
        <v>Getreide-Silage</v>
      </c>
      <c r="C134" s="431"/>
      <c r="D134" s="431"/>
      <c r="E134" s="431"/>
      <c r="F134" s="369"/>
      <c r="G134" s="340"/>
      <c r="H134" s="55"/>
      <c r="I134" s="661">
        <f t="shared" si="10"/>
      </c>
      <c r="J134" s="636">
        <f t="shared" si="11"/>
      </c>
      <c r="K134" s="338"/>
      <c r="L134" s="328"/>
      <c r="M134" s="276"/>
      <c r="N134" s="276"/>
      <c r="Q134" s="658"/>
      <c r="R134" s="659"/>
      <c r="S134" s="610">
        <f>IF(AND($H134=1,$Q134&gt;0),Texte!$A$307,IF(AND($H134=2,$Q134&gt;ROUND($J134,0)),Texte!$A$307,IF(AND($H134=3,$Q134&gt;ROUND($K134,0)),Texte!$A$307,"")))</f>
      </c>
      <c r="U134" s="276"/>
      <c r="V134" s="276"/>
      <c r="W134" s="181" t="b">
        <f aca="true" t="shared" si="12" ref="W134:W152">IF(AND(ISBLANK(Q134),OR(J134,K134)&lt;&gt;0),1)</f>
        <v>0</v>
      </c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</row>
    <row r="135" spans="2:48" ht="12.75" customHeight="1">
      <c r="B135" s="344" t="str">
        <f>Texte!A274</f>
        <v>Getreide-Silage mit Leguminosen</v>
      </c>
      <c r="C135" s="345"/>
      <c r="D135" s="345"/>
      <c r="E135" s="345"/>
      <c r="F135" s="91"/>
      <c r="G135" s="4"/>
      <c r="H135" s="51"/>
      <c r="I135" s="662">
        <f t="shared" si="10"/>
      </c>
      <c r="J135" s="626">
        <f t="shared" si="11"/>
      </c>
      <c r="K135" s="341"/>
      <c r="L135" s="328"/>
      <c r="M135" s="276"/>
      <c r="N135" s="276"/>
      <c r="Q135" s="604"/>
      <c r="R135" s="605"/>
      <c r="S135" s="610">
        <f>IF(AND($H135=1,$Q135&gt;0),Texte!$A$307,IF(AND($H135=2,$Q135&gt;ROUND($J135,0)),Texte!$A$307,IF(AND($H135=3,$Q135&gt;ROUND($K135,0)),Texte!$A$307,"")))</f>
      </c>
      <c r="U135" s="276"/>
      <c r="V135" s="276"/>
      <c r="W135" s="181" t="b">
        <f t="shared" si="12"/>
        <v>0</v>
      </c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</row>
    <row r="136" spans="2:48" ht="12.75" customHeight="1">
      <c r="B136" s="344" t="str">
        <f>Texte!A275</f>
        <v>Silomais</v>
      </c>
      <c r="C136" s="345"/>
      <c r="D136" s="345"/>
      <c r="E136" s="345"/>
      <c r="F136" s="91"/>
      <c r="G136" s="4"/>
      <c r="H136" s="51"/>
      <c r="I136" s="626">
        <f t="shared" si="10"/>
      </c>
      <c r="J136" s="626">
        <f t="shared" si="11"/>
      </c>
      <c r="K136" s="341"/>
      <c r="L136" s="328"/>
      <c r="Q136" s="604"/>
      <c r="R136" s="605"/>
      <c r="S136" s="610">
        <f>IF(AND($H136=1,$Q136&gt;0),Texte!$A$307,IF(AND($H136=2,$Q136&gt;ROUND($J136,0)),Texte!$A$307,IF(AND($H136=3,$Q136&gt;ROUND($K136,0)),Texte!$A$307,"")))</f>
      </c>
      <c r="W136" s="181" t="b">
        <f t="shared" si="12"/>
        <v>0</v>
      </c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</row>
    <row r="137" spans="2:48" ht="12.75" customHeight="1">
      <c r="B137" s="251" t="str">
        <f>Texte!A276</f>
        <v>Grünmais</v>
      </c>
      <c r="C137" s="346"/>
      <c r="D137" s="346"/>
      <c r="E137" s="346"/>
      <c r="F137" s="91"/>
      <c r="G137" s="4"/>
      <c r="H137" s="51"/>
      <c r="I137" s="626">
        <f t="shared" si="10"/>
      </c>
      <c r="J137" s="626">
        <f t="shared" si="11"/>
      </c>
      <c r="K137" s="341"/>
      <c r="L137" s="328"/>
      <c r="Q137" s="604"/>
      <c r="R137" s="605"/>
      <c r="S137" s="610">
        <f>IF(AND($H137=1,$Q137&gt;0),Texte!$A$307,IF(AND($H137=2,$Q137&gt;ROUND($J137,0)),Texte!$A$307,IF(AND($H137=3,$Q137&gt;ROUND($K137,0)),Texte!$A$307,"")))</f>
      </c>
      <c r="W137" s="181" t="b">
        <f t="shared" si="12"/>
        <v>0</v>
      </c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</row>
    <row r="138" spans="2:48" ht="12.75" customHeight="1">
      <c r="B138" s="251" t="str">
        <f>Texte!A277</f>
        <v>Mais Ganzpflanzenwürfel</v>
      </c>
      <c r="C138" s="346"/>
      <c r="D138" s="346"/>
      <c r="E138" s="346"/>
      <c r="F138" s="91"/>
      <c r="G138" s="4"/>
      <c r="H138" s="51"/>
      <c r="I138" s="626">
        <f t="shared" si="10"/>
      </c>
      <c r="J138" s="626">
        <f t="shared" si="11"/>
      </c>
      <c r="K138" s="341"/>
      <c r="L138" s="328"/>
      <c r="Q138" s="604"/>
      <c r="R138" s="605"/>
      <c r="S138" s="610">
        <f>IF(AND($H138=1,$Q138&gt;0),Texte!$A$307,IF(AND($H138=2,$Q138&gt;ROUND($J138,0)),Texte!$A$307,IF(AND($H138=3,$Q138&gt;ROUND($K138,0)),Texte!$A$307,"")))</f>
      </c>
      <c r="W138" s="181" t="b">
        <f t="shared" si="12"/>
        <v>0</v>
      </c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</row>
    <row r="139" spans="2:48" ht="12.75" customHeight="1">
      <c r="B139" s="251" t="str">
        <f>Texte!A278</f>
        <v>CCM (für Rindviehmast)</v>
      </c>
      <c r="C139" s="346"/>
      <c r="D139" s="346"/>
      <c r="E139" s="346"/>
      <c r="F139" s="91"/>
      <c r="G139" s="4"/>
      <c r="H139" s="51"/>
      <c r="I139" s="349">
        <f t="shared" si="10"/>
      </c>
      <c r="J139" s="626">
        <f t="shared" si="11"/>
      </c>
      <c r="K139" s="626">
        <f>IF(H139=3,F139*G139/100,"")</f>
      </c>
      <c r="L139" s="328"/>
      <c r="Q139" s="604"/>
      <c r="R139" s="605"/>
      <c r="S139" s="610">
        <f>IF(AND($H139=1,$Q139&gt;0),Texte!$A$307,IF(AND($H139=2,$Q139&gt;ROUND($J139,0)),Texte!$A$307,IF(AND($H139=3,$Q139&gt;ROUND($K139,0)),Texte!$A$307,"")))</f>
      </c>
      <c r="W139" s="181" t="b">
        <f t="shared" si="12"/>
        <v>0</v>
      </c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</row>
    <row r="140" spans="2:48" ht="12.75" customHeight="1">
      <c r="B140" s="251" t="str">
        <f>Texte!A279</f>
        <v>Futterrüben</v>
      </c>
      <c r="C140" s="346"/>
      <c r="D140" s="346"/>
      <c r="E140" s="346"/>
      <c r="F140" s="91"/>
      <c r="G140" s="4"/>
      <c r="H140" s="51"/>
      <c r="I140" s="626">
        <f t="shared" si="10"/>
      </c>
      <c r="J140" s="626">
        <f t="shared" si="11"/>
      </c>
      <c r="K140" s="347"/>
      <c r="L140" s="328"/>
      <c r="Q140" s="604"/>
      <c r="R140" s="605"/>
      <c r="S140" s="610">
        <f>IF(AND($H140=1,$Q140&gt;0),Texte!$A$307,IF(AND($H140=2,$Q140&gt;ROUND($J140,0)),Texte!$A$307,IF(AND($H140=3,$Q140&gt;ROUND($K140,0)),Texte!$A$307,"")))</f>
      </c>
      <c r="W140" s="181" t="b">
        <f t="shared" si="12"/>
        <v>0</v>
      </c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</row>
    <row r="141" spans="2:48" ht="12.75" customHeight="1">
      <c r="B141" s="251" t="str">
        <f>Texte!A280</f>
        <v>Zuckerrüben</v>
      </c>
      <c r="C141" s="346"/>
      <c r="D141" s="346"/>
      <c r="E141" s="346"/>
      <c r="F141" s="91"/>
      <c r="G141" s="4"/>
      <c r="H141" s="51"/>
      <c r="I141" s="348"/>
      <c r="J141" s="635">
        <f t="shared" si="11"/>
      </c>
      <c r="K141" s="626">
        <f>IF(H141=3,F141*G141/100,"")</f>
      </c>
      <c r="L141" s="328"/>
      <c r="Q141" s="604"/>
      <c r="R141" s="605"/>
      <c r="S141" s="610">
        <f>IF(AND($H141=1,$Q141&gt;0),Texte!$A$307,IF(AND($H141=2,$Q141&gt;ROUND($J141,0)),Texte!$A$307,IF(AND($H141=3,$Q141&gt;ROUND($K141,0)),Texte!$A$307,"")))</f>
      </c>
      <c r="W141" s="181" t="b">
        <f t="shared" si="12"/>
        <v>0</v>
      </c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</row>
    <row r="142" spans="2:48" ht="12.75" customHeight="1">
      <c r="B142" s="251" t="str">
        <f>Texte!A281</f>
        <v>Zuckerrübenschnitzel, frisch</v>
      </c>
      <c r="C142" s="346"/>
      <c r="D142" s="346"/>
      <c r="E142" s="346"/>
      <c r="F142" s="91"/>
      <c r="G142" s="4"/>
      <c r="H142" s="50">
        <v>2</v>
      </c>
      <c r="I142" s="349"/>
      <c r="J142" s="626">
        <f t="shared" si="11"/>
        <v>0</v>
      </c>
      <c r="K142" s="348"/>
      <c r="L142" s="328"/>
      <c r="Q142" s="604"/>
      <c r="R142" s="605"/>
      <c r="S142" s="610">
        <f>IF(AND($H142=1,$Q142&gt;0),Texte!$A$307,IF(AND($H142=2,$Q142&gt;ROUND($J142,0)),Texte!$A$307,IF(AND($H142=3,$Q142&gt;ROUND($K142,0)),Texte!$A$307,"")))</f>
      </c>
      <c r="W142" s="181" t="b">
        <f t="shared" si="12"/>
        <v>0</v>
      </c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</row>
    <row r="143" spans="2:48" ht="12.75" customHeight="1">
      <c r="B143" s="251" t="str">
        <f>Texte!A282</f>
        <v>Zuckerrübenschnitzel, siliert</v>
      </c>
      <c r="C143" s="346"/>
      <c r="D143" s="346"/>
      <c r="E143" s="346"/>
      <c r="F143" s="91"/>
      <c r="G143" s="4"/>
      <c r="H143" s="50">
        <v>2</v>
      </c>
      <c r="I143" s="349"/>
      <c r="J143" s="626">
        <f t="shared" si="11"/>
        <v>0</v>
      </c>
      <c r="K143" s="349"/>
      <c r="L143" s="328"/>
      <c r="Q143" s="604"/>
      <c r="R143" s="605"/>
      <c r="S143" s="610">
        <f>IF(AND($H143=1,$Q143&gt;0),Texte!$A$307,IF(AND($H143=2,$Q143&gt;ROUND($J143,0)),Texte!$A$307,IF(AND($H143=3,$Q143&gt;ROUND($K143,0)),Texte!$A$307,"")))</f>
      </c>
      <c r="W143" s="181" t="b">
        <f t="shared" si="12"/>
        <v>0</v>
      </c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</row>
    <row r="144" spans="2:48" ht="12.75" customHeight="1">
      <c r="B144" s="251" t="str">
        <f>Texte!A284</f>
        <v>Rübenblätter</v>
      </c>
      <c r="C144" s="346"/>
      <c r="D144" s="346"/>
      <c r="E144" s="346"/>
      <c r="F144" s="91"/>
      <c r="G144" s="4"/>
      <c r="H144" s="50">
        <v>2</v>
      </c>
      <c r="I144" s="349"/>
      <c r="J144" s="626">
        <f t="shared" si="11"/>
        <v>0</v>
      </c>
      <c r="K144" s="350"/>
      <c r="L144" s="328"/>
      <c r="Q144" s="604"/>
      <c r="R144" s="605"/>
      <c r="S144" s="610">
        <f>IF(AND($H144=1,$Q144&gt;0),Texte!$A$307,IF(AND($H144=2,$Q144&gt;ROUND($J144,0)),Texte!$A$307,IF(AND($H144=3,$Q144&gt;ROUND($K144,0)),Texte!$A$307,"")))</f>
      </c>
      <c r="W144" s="181" t="b">
        <f t="shared" si="12"/>
        <v>0</v>
      </c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</row>
    <row r="145" spans="2:48" ht="12.75" customHeight="1">
      <c r="B145" s="251" t="str">
        <f>Texte!A285</f>
        <v>Kartoffeln</v>
      </c>
      <c r="C145" s="346"/>
      <c r="D145" s="346"/>
      <c r="E145" s="346"/>
      <c r="F145" s="91"/>
      <c r="G145" s="4"/>
      <c r="H145" s="51"/>
      <c r="I145" s="349"/>
      <c r="J145" s="626">
        <f t="shared" si="11"/>
      </c>
      <c r="K145" s="626">
        <f>IF(H145=3,F145*G145/100,"")</f>
      </c>
      <c r="L145" s="328"/>
      <c r="Q145" s="604"/>
      <c r="R145" s="605"/>
      <c r="S145" s="610">
        <f>IF(AND($H145=1,$Q145&gt;0),Texte!$A$307,IF(AND($H145=2,$Q145&gt;ROUND($J145,0)),Texte!$A$307,IF(AND($H145=3,$Q145&gt;ROUND($K145,0)),Texte!$A$307,"")))</f>
      </c>
      <c r="W145" s="181" t="b">
        <f t="shared" si="12"/>
        <v>0</v>
      </c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</row>
    <row r="146" spans="2:48" ht="12.75" customHeight="1">
      <c r="B146" s="251" t="str">
        <f>Texte!A286</f>
        <v>Chicorée-Wurzeln</v>
      </c>
      <c r="C146" s="346"/>
      <c r="D146" s="346"/>
      <c r="E146" s="346"/>
      <c r="F146" s="91"/>
      <c r="G146" s="4"/>
      <c r="H146" s="50">
        <v>2</v>
      </c>
      <c r="I146" s="349"/>
      <c r="J146" s="626">
        <f t="shared" si="11"/>
        <v>0</v>
      </c>
      <c r="K146" s="348"/>
      <c r="L146" s="328"/>
      <c r="Q146" s="604"/>
      <c r="R146" s="605"/>
      <c r="S146" s="610">
        <f>IF(AND($H146=1,$Q146&gt;0),Texte!$A$307,IF(AND($H146=2,$Q146&gt;ROUND($J146,0)),Texte!$A$307,IF(AND($H146=3,$Q146&gt;ROUND($K146,0)),Texte!$A$307,"")))</f>
      </c>
      <c r="W146" s="181" t="b">
        <f t="shared" si="12"/>
        <v>0</v>
      </c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</row>
    <row r="147" spans="2:48" ht="12.75" customHeight="1">
      <c r="B147" s="251" t="str">
        <f>Texte!A287</f>
        <v>Abgang Obst- / Gemüseverwertung</v>
      </c>
      <c r="C147" s="346"/>
      <c r="D147" s="346"/>
      <c r="E147" s="346"/>
      <c r="F147" s="91"/>
      <c r="G147" s="4"/>
      <c r="H147" s="50">
        <v>2</v>
      </c>
      <c r="I147" s="349"/>
      <c r="J147" s="626">
        <f t="shared" si="11"/>
        <v>0</v>
      </c>
      <c r="K147" s="349"/>
      <c r="L147" s="328"/>
      <c r="Q147" s="604"/>
      <c r="R147" s="605"/>
      <c r="S147" s="610">
        <f>IF(AND($H147=1,$Q147&gt;0),Texte!$A$307,IF(AND($H147=2,$Q147&gt;ROUND($J147,0)),Texte!$A$307,IF(AND($H147=3,$Q147&gt;ROUND($K147,0)),Texte!$A$307,"")))</f>
      </c>
      <c r="W147" s="181" t="b">
        <f t="shared" si="12"/>
        <v>0</v>
      </c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</row>
    <row r="148" spans="2:48" ht="12.75" customHeight="1">
      <c r="B148" s="251" t="str">
        <f>Texte!A288</f>
        <v>Biertreber, frisch oder siliert</v>
      </c>
      <c r="C148" s="346"/>
      <c r="D148" s="346"/>
      <c r="E148" s="346"/>
      <c r="F148" s="91"/>
      <c r="G148" s="4"/>
      <c r="H148" s="50">
        <v>2</v>
      </c>
      <c r="I148" s="349"/>
      <c r="J148" s="626">
        <f t="shared" si="11"/>
        <v>0</v>
      </c>
      <c r="K148" s="349"/>
      <c r="L148" s="328"/>
      <c r="Q148" s="604"/>
      <c r="R148" s="605"/>
      <c r="S148" s="610">
        <f>IF(AND($H148=1,$Q148&gt;0),Texte!$A$307,IF(AND($H148=2,$Q148&gt;ROUND($J148,0)),Texte!$A$307,IF(AND($H148=3,$Q148&gt;ROUND($K148,0)),Texte!$A$307,"")))</f>
      </c>
      <c r="W148" s="181" t="b">
        <f t="shared" si="12"/>
        <v>0</v>
      </c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</row>
    <row r="149" spans="2:48" ht="12.75" customHeight="1">
      <c r="B149" s="251" t="str">
        <f>Texte!A289</f>
        <v>Zufuhr von Stroh zur Verfütterung</v>
      </c>
      <c r="C149" s="346"/>
      <c r="D149" s="346"/>
      <c r="E149" s="346"/>
      <c r="F149" s="92"/>
      <c r="G149" s="54"/>
      <c r="H149" s="667">
        <v>2</v>
      </c>
      <c r="I149" s="349"/>
      <c r="J149" s="625">
        <f t="shared" si="11"/>
        <v>0</v>
      </c>
      <c r="K149" s="349"/>
      <c r="L149" s="328"/>
      <c r="Q149" s="668"/>
      <c r="R149" s="669"/>
      <c r="S149" s="610">
        <f>IF(AND($H149=1,$Q149&gt;0),Texte!$A$307,IF(AND($H149=2,$Q149&gt;ROUND($J149,0)),Texte!$A$307,IF(AND($H149=3,$Q149&gt;ROUND($K149,0)),Texte!$A$307,"")))</f>
      </c>
      <c r="W149" s="181" t="b">
        <f t="shared" si="12"/>
        <v>0</v>
      </c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</row>
    <row r="150" spans="2:48" ht="12.75" customHeight="1">
      <c r="B150" s="686" t="str">
        <f>Texte!A283</f>
        <v>Zuckerrübenschnitzel, getrocknet</v>
      </c>
      <c r="C150" s="346"/>
      <c r="D150" s="346"/>
      <c r="E150" s="346"/>
      <c r="F150" s="92"/>
      <c r="G150" s="54"/>
      <c r="H150" s="667">
        <v>2</v>
      </c>
      <c r="I150" s="349"/>
      <c r="J150" s="625">
        <f t="shared" si="11"/>
        <v>0</v>
      </c>
      <c r="K150" s="349"/>
      <c r="L150" s="328"/>
      <c r="Q150" s="668"/>
      <c r="R150" s="669"/>
      <c r="S150" s="610">
        <f>IF(AND($H150=1,$Q150&gt;0),Texte!$A$307,IF(AND($H150=2,$Q150&gt;ROUND($J150,0)),Texte!$A$307,IF(AND($H150=3,$Q150&gt;ROUND($K150,0)),Texte!$A$307,"")))</f>
      </c>
      <c r="W150" s="181" t="b">
        <f t="shared" si="12"/>
        <v>0</v>
      </c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</row>
    <row r="151" spans="2:48" ht="12.75" customHeight="1">
      <c r="B151" s="686" t="str">
        <f>Texte!A290</f>
        <v>Biertreber, getrocknet</v>
      </c>
      <c r="C151" s="346"/>
      <c r="D151" s="346"/>
      <c r="E151" s="346"/>
      <c r="F151" s="92"/>
      <c r="G151" s="54"/>
      <c r="H151" s="667">
        <v>2</v>
      </c>
      <c r="I151" s="349"/>
      <c r="J151" s="625">
        <f t="shared" si="11"/>
        <v>0</v>
      </c>
      <c r="K151" s="349"/>
      <c r="L151" s="328"/>
      <c r="Q151" s="668"/>
      <c r="R151" s="669"/>
      <c r="S151" s="610">
        <f>IF(AND($H151=1,$Q151&gt;0),Texte!$A$307,IF(AND($H151=2,$Q151&gt;ROUND($J151,0)),Texte!$A$307,IF(AND($H151=3,$Q151&gt;ROUND($K151,0)),Texte!$A$307,"")))</f>
      </c>
      <c r="W151" s="181" t="b">
        <f t="shared" si="12"/>
        <v>0</v>
      </c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</row>
    <row r="152" spans="2:48" ht="12.75" customHeight="1">
      <c r="B152" s="687" t="str">
        <f>Texte!A291</f>
        <v>Nebenprodukte Trocken- und Schälmüllerei</v>
      </c>
      <c r="C152" s="351"/>
      <c r="D152" s="351"/>
      <c r="E152" s="351"/>
      <c r="F152" s="93"/>
      <c r="G152" s="58"/>
      <c r="H152" s="59">
        <v>2</v>
      </c>
      <c r="I152" s="352"/>
      <c r="J152" s="627">
        <f t="shared" si="11"/>
        <v>0</v>
      </c>
      <c r="K152" s="352"/>
      <c r="L152" s="353"/>
      <c r="Q152" s="606"/>
      <c r="R152" s="607"/>
      <c r="S152" s="610">
        <f>IF(AND($H152=1,$Q152&gt;0),Texte!$A$307,IF(AND($H152=2,$Q152&gt;ROUND($J152,0)),Texte!$A$307,IF(AND($H152=3,$Q152&gt;ROUND($K152,0)),Texte!$A$307,"")))</f>
      </c>
      <c r="W152" s="181" t="b">
        <f t="shared" si="12"/>
        <v>0</v>
      </c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</row>
    <row r="153" spans="2:48" ht="9" customHeight="1">
      <c r="B153" s="217"/>
      <c r="C153" s="155"/>
      <c r="D153" s="155"/>
      <c r="E153" s="155"/>
      <c r="F153" s="276"/>
      <c r="G153" s="276"/>
      <c r="H153" s="276"/>
      <c r="I153" s="276"/>
      <c r="J153" s="276"/>
      <c r="K153" s="276"/>
      <c r="L153" s="354"/>
      <c r="W153" s="181">
        <f>SUM(W134:W152)</f>
        <v>0</v>
      </c>
      <c r="X153" s="641" t="s">
        <v>329</v>
      </c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</row>
    <row r="154" spans="2:48" ht="12.75" customHeight="1">
      <c r="B154" s="232" t="str">
        <f>Texte!A292</f>
        <v>C1: Total Wegfuhr Wiesen und Weidefutter</v>
      </c>
      <c r="C154" s="155"/>
      <c r="D154" s="155"/>
      <c r="E154" s="276"/>
      <c r="F154" s="276"/>
      <c r="H154" s="322"/>
      <c r="I154" s="637">
        <f>SUM(I129:I133)</f>
        <v>0</v>
      </c>
      <c r="J154" s="322"/>
      <c r="K154" s="322"/>
      <c r="L154" s="633">
        <f>I154</f>
        <v>0</v>
      </c>
      <c r="M154" s="276" t="str">
        <f>Texte!A$262</f>
        <v>dt TS</v>
      </c>
      <c r="N154" s="276"/>
      <c r="O154" s="276"/>
      <c r="P154" s="276"/>
      <c r="Q154" s="276"/>
      <c r="R154" s="276"/>
      <c r="S154" s="276"/>
      <c r="T154" s="276"/>
      <c r="U154" s="276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</row>
    <row r="155" spans="2:48" ht="12.75" customHeight="1">
      <c r="B155" s="232" t="str">
        <f>Texte!A293</f>
        <v>C2: Total Wegfuhr übrige Grundfutter</v>
      </c>
      <c r="C155" s="155"/>
      <c r="D155" s="155"/>
      <c r="E155" s="276"/>
      <c r="F155" s="276"/>
      <c r="G155" s="322" t="s">
        <v>804</v>
      </c>
      <c r="H155" s="276"/>
      <c r="I155" s="637">
        <f>SUM(I134:I152)</f>
        <v>0</v>
      </c>
      <c r="J155" s="355"/>
      <c r="K155" s="355"/>
      <c r="L155" s="633">
        <f>I155</f>
        <v>0</v>
      </c>
      <c r="M155" s="276" t="str">
        <f>Texte!A$262</f>
        <v>dt TS</v>
      </c>
      <c r="N155" s="276"/>
      <c r="O155" s="276"/>
      <c r="P155" s="276"/>
      <c r="Q155" s="276"/>
      <c r="R155" s="276"/>
      <c r="S155" s="276"/>
      <c r="T155" s="276"/>
      <c r="U155" s="356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</row>
    <row r="156" spans="2:48" ht="12.75" customHeight="1">
      <c r="B156" s="232" t="str">
        <f>Texte!A294</f>
        <v>C3: Total Zufuhr Wiesen- und Weidefutter</v>
      </c>
      <c r="C156" s="155"/>
      <c r="D156" s="155"/>
      <c r="E156" s="276"/>
      <c r="F156" s="276"/>
      <c r="G156" s="322"/>
      <c r="H156" s="276"/>
      <c r="I156" s="276"/>
      <c r="J156" s="633">
        <f>SUM(J129:J133)</f>
        <v>0</v>
      </c>
      <c r="K156" s="355"/>
      <c r="L156" s="633">
        <f>J156*-1</f>
        <v>0</v>
      </c>
      <c r="M156" s="276"/>
      <c r="N156" s="276"/>
      <c r="O156" s="276"/>
      <c r="P156" s="276"/>
      <c r="Q156" s="276"/>
      <c r="R156" s="276"/>
      <c r="S156" s="276"/>
      <c r="T156" s="276"/>
      <c r="U156" s="356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</row>
    <row r="157" spans="2:48" ht="12.75" customHeight="1">
      <c r="B157" s="232" t="str">
        <f>Texte!A295</f>
        <v>C4: Total Zufuhr übrige Grundfutter</v>
      </c>
      <c r="C157" s="155"/>
      <c r="D157" s="155"/>
      <c r="E157" s="155"/>
      <c r="F157" s="276"/>
      <c r="G157" s="276"/>
      <c r="H157" s="322" t="s">
        <v>805</v>
      </c>
      <c r="I157" s="276"/>
      <c r="J157" s="633">
        <f>SUM(J134:J149)</f>
        <v>0</v>
      </c>
      <c r="L157" s="638">
        <f>J157*-1</f>
        <v>0</v>
      </c>
      <c r="M157" s="276" t="str">
        <f>Texte!A$262</f>
        <v>dt TS</v>
      </c>
      <c r="N157" s="276"/>
      <c r="O157" s="276"/>
      <c r="P157" s="276"/>
      <c r="Q157" s="276"/>
      <c r="R157" s="276"/>
      <c r="S157" s="276"/>
      <c r="T157" s="276"/>
      <c r="U157" s="356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</row>
    <row r="158" spans="2:48" ht="12.75" customHeight="1">
      <c r="B158" s="232" t="str">
        <f>Texte!A296</f>
        <v>C5: Grundfutterproduktion ausserhalb der Futterfläche</v>
      </c>
      <c r="C158" s="155"/>
      <c r="D158" s="155"/>
      <c r="E158" s="155"/>
      <c r="F158" s="276"/>
      <c r="G158" s="276"/>
      <c r="H158" s="322"/>
      <c r="I158" s="276"/>
      <c r="J158" s="670"/>
      <c r="K158" s="633">
        <f>SUM(K129:K152)</f>
        <v>0</v>
      </c>
      <c r="L158" s="639">
        <f>K158*-1</f>
        <v>0</v>
      </c>
      <c r="M158" s="276"/>
      <c r="N158" s="276"/>
      <c r="O158" s="276"/>
      <c r="P158" s="276"/>
      <c r="Q158" s="276"/>
      <c r="R158" s="276"/>
      <c r="S158" s="276"/>
      <c r="T158" s="276"/>
      <c r="U158" s="356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</row>
    <row r="159" spans="2:48" ht="12.75" customHeight="1">
      <c r="B159" s="688" t="str">
        <f>Texte!A297</f>
        <v>C6: Total Zufuhr Nebenprodukte aus Verarbeitung Lebensmittel</v>
      </c>
      <c r="C159" s="155"/>
      <c r="D159" s="155"/>
      <c r="E159" s="155"/>
      <c r="F159" s="276"/>
      <c r="G159" s="276"/>
      <c r="H159" s="322"/>
      <c r="I159" s="276"/>
      <c r="J159" s="633">
        <f>SUM(J150:J152)</f>
        <v>0</v>
      </c>
      <c r="L159" s="633">
        <f>J159*-1</f>
        <v>0</v>
      </c>
      <c r="M159" s="276"/>
      <c r="N159" s="276"/>
      <c r="O159" s="276"/>
      <c r="P159" s="276"/>
      <c r="Q159" s="276"/>
      <c r="R159" s="276"/>
      <c r="S159" s="276"/>
      <c r="T159" s="276"/>
      <c r="U159" s="356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</row>
    <row r="160" spans="2:48" ht="11.25" customHeight="1">
      <c r="B160" s="217"/>
      <c r="C160" s="155"/>
      <c r="D160" s="155"/>
      <c r="E160" s="155"/>
      <c r="F160" s="357"/>
      <c r="G160" s="357"/>
      <c r="H160" s="357"/>
      <c r="I160" s="357"/>
      <c r="J160" s="357"/>
      <c r="K160" s="357"/>
      <c r="L160" s="354"/>
      <c r="M160" s="276"/>
      <c r="N160" s="276"/>
      <c r="O160" s="276"/>
      <c r="P160" s="276"/>
      <c r="Q160" s="276"/>
      <c r="R160" s="276"/>
      <c r="S160" s="276"/>
      <c r="T160" s="276"/>
      <c r="U160" s="276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</row>
    <row r="161" spans="2:48" ht="12.75" customHeight="1">
      <c r="B161" s="232" t="str">
        <f>Texte!A298</f>
        <v>Total Netto-Grundfutterbedarf</v>
      </c>
      <c r="C161" s="209"/>
      <c r="D161" s="209"/>
      <c r="E161" s="209"/>
      <c r="F161" s="276"/>
      <c r="G161" s="276"/>
      <c r="H161" s="276"/>
      <c r="I161" s="276"/>
      <c r="J161" s="276"/>
      <c r="K161" s="322" t="s">
        <v>807</v>
      </c>
      <c r="L161" s="638">
        <f>SUM(L125:L159)</f>
        <v>0</v>
      </c>
      <c r="M161" s="276" t="str">
        <f>Texte!A$262</f>
        <v>dt TS</v>
      </c>
      <c r="N161" s="276"/>
      <c r="O161" s="276"/>
      <c r="P161" s="276"/>
      <c r="Q161" s="276"/>
      <c r="R161" s="276"/>
      <c r="S161" s="276"/>
      <c r="T161" s="276"/>
      <c r="U161" s="276"/>
      <c r="W161" s="199" t="s">
        <v>1245</v>
      </c>
      <c r="X161" s="261"/>
      <c r="Y161" s="155"/>
      <c r="Z161" s="155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</row>
    <row r="162" spans="2:48" ht="12.75" customHeight="1">
      <c r="B162" s="217" t="str">
        <f>Texte!A299</f>
        <v>C7: Zuzüglich Lagerungs- und Krippenverluste, 0-5% vom Netto-Grundfutterbedarf</v>
      </c>
      <c r="C162" s="209"/>
      <c r="D162" s="209"/>
      <c r="E162" s="209"/>
      <c r="F162" s="276"/>
      <c r="G162" s="276"/>
      <c r="H162" s="276"/>
      <c r="I162" s="276"/>
      <c r="J162" s="276"/>
      <c r="K162" s="5"/>
      <c r="L162" s="633">
        <f>L161*K162/100</f>
        <v>0</v>
      </c>
      <c r="M162" s="276" t="str">
        <f>Texte!A$262</f>
        <v>dt TS</v>
      </c>
      <c r="N162" s="276"/>
      <c r="O162" s="276"/>
      <c r="P162" s="276"/>
      <c r="Q162" s="276"/>
      <c r="R162" s="276"/>
      <c r="S162" s="276"/>
      <c r="T162" s="276"/>
      <c r="W162" s="446" t="b">
        <f>OR(AND(L85=0,K162&lt;=2.5),AND(L85&gt;0,K162&lt;=5))</f>
        <v>1</v>
      </c>
      <c r="X162" s="261" t="s">
        <v>1257</v>
      </c>
      <c r="Y162" s="155"/>
      <c r="Z162" s="155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</row>
    <row r="163" spans="2:48" ht="12.75" customHeight="1">
      <c r="B163" s="217" t="str">
        <f>Texte!A300</f>
        <v>C8: Fehlerbereich der Grundfutterbilanz: 0-5% vom Netto-Grundfutterbedarf</v>
      </c>
      <c r="C163" s="209"/>
      <c r="D163" s="209"/>
      <c r="E163" s="209"/>
      <c r="F163" s="276"/>
      <c r="G163" s="276"/>
      <c r="H163" s="276"/>
      <c r="I163" s="322"/>
      <c r="J163" s="276"/>
      <c r="K163" s="56"/>
      <c r="L163" s="633">
        <f>L161*K163/100</f>
        <v>0</v>
      </c>
      <c r="M163" s="276" t="str">
        <f>Texte!A$262</f>
        <v>dt TS</v>
      </c>
      <c r="N163" s="276"/>
      <c r="O163" s="276"/>
      <c r="P163" s="276"/>
      <c r="Q163" s="276"/>
      <c r="R163" s="276"/>
      <c r="S163" s="276"/>
      <c r="T163" s="276"/>
      <c r="U163" s="276"/>
      <c r="W163" s="155"/>
      <c r="X163" s="155"/>
      <c r="Y163" s="155"/>
      <c r="Z163" s="155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</row>
    <row r="164" spans="2:48" ht="12.75" customHeight="1">
      <c r="B164" s="238" t="str">
        <f>Texte!A301</f>
        <v>Total auf der Futterfläche zu produzierendes Grundfutter (GFprod)</v>
      </c>
      <c r="C164" s="239"/>
      <c r="D164" s="239"/>
      <c r="E164" s="239"/>
      <c r="F164" s="358"/>
      <c r="G164" s="358"/>
      <c r="H164" s="358"/>
      <c r="I164" s="358"/>
      <c r="J164" s="358"/>
      <c r="K164" s="239"/>
      <c r="L164" s="638">
        <f>SUM(L161:L163)</f>
        <v>0</v>
      </c>
      <c r="M164" s="276" t="str">
        <f>Texte!A$262</f>
        <v>dt TS</v>
      </c>
      <c r="N164" s="276"/>
      <c r="O164" s="276"/>
      <c r="P164" s="276"/>
      <c r="Q164" s="276"/>
      <c r="R164" s="276"/>
      <c r="S164" s="276"/>
      <c r="T164" s="276"/>
      <c r="U164" s="276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</row>
    <row r="165" spans="2:50" ht="11.25" customHeight="1">
      <c r="B165" s="316"/>
      <c r="C165" s="316"/>
      <c r="D165" s="316"/>
      <c r="I165" s="155"/>
      <c r="J165" s="155"/>
      <c r="K165" s="155"/>
      <c r="L165" s="155"/>
      <c r="AB165" s="155"/>
      <c r="AC165" s="149"/>
      <c r="AD165" s="359"/>
      <c r="AE165" s="182"/>
      <c r="AF165" s="469" t="s">
        <v>1242</v>
      </c>
      <c r="AG165" s="360">
        <v>0.3</v>
      </c>
      <c r="AH165" s="150"/>
      <c r="AI165" s="150"/>
      <c r="AJ165" s="149"/>
      <c r="AL165" s="152"/>
      <c r="AM165" s="152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</row>
    <row r="166" spans="2:50" ht="15.75">
      <c r="B166" s="177" t="str">
        <f>Texte!A309</f>
        <v>Teil D: Bilanz</v>
      </c>
      <c r="C166" s="316"/>
      <c r="D166" s="316"/>
      <c r="E166" s="316"/>
      <c r="P166" s="709"/>
      <c r="Q166" s="177" t="str">
        <f>Texte!A342</f>
        <v>Bilanz für Mutterkuh &amp; Kalb</v>
      </c>
      <c r="Y166" s="181"/>
      <c r="Z166" s="181" t="s">
        <v>696</v>
      </c>
      <c r="AA166" s="181" t="s">
        <v>697</v>
      </c>
      <c r="AB166" s="261"/>
      <c r="AC166" s="181"/>
      <c r="AD166" s="359" t="s">
        <v>706</v>
      </c>
      <c r="AE166" s="360"/>
      <c r="AG166" s="361" t="s">
        <v>837</v>
      </c>
      <c r="AH166" s="361"/>
      <c r="AI166" s="361"/>
      <c r="AJ166" s="359"/>
      <c r="AL166" s="152"/>
      <c r="AM166" s="152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</row>
    <row r="167" spans="16:50" ht="7.5" customHeight="1">
      <c r="P167" s="709"/>
      <c r="Y167" s="181"/>
      <c r="Z167" s="181"/>
      <c r="AA167" s="181"/>
      <c r="AB167" s="181"/>
      <c r="AC167" s="181"/>
      <c r="AD167" s="182"/>
      <c r="AE167" s="182"/>
      <c r="AG167" s="359"/>
      <c r="AH167" s="359"/>
      <c r="AI167" s="359"/>
      <c r="AJ167" s="359"/>
      <c r="AL167" s="362"/>
      <c r="AM167" s="362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</row>
    <row r="168" spans="2:48" ht="12" customHeight="1">
      <c r="B168" s="343"/>
      <c r="C168" s="293"/>
      <c r="D168" s="293"/>
      <c r="E168" s="363"/>
      <c r="F168" s="364" t="str">
        <f>Texte!A321</f>
        <v>Total</v>
      </c>
      <c r="G168" s="365"/>
      <c r="H168" s="211" t="str">
        <f>Texte!A323</f>
        <v>Wiesen- und</v>
      </c>
      <c r="I168" s="213"/>
      <c r="J168" s="211" t="str">
        <f>Texte!A325</f>
        <v>Übriges Grundfutter</v>
      </c>
      <c r="K168" s="546"/>
      <c r="L168" s="546"/>
      <c r="M168" s="213"/>
      <c r="N168" s="364" t="str">
        <f>Texte!A329</f>
        <v>Kraftfutter</v>
      </c>
      <c r="O168" s="365"/>
      <c r="P168" s="709"/>
      <c r="Q168" s="588" t="str">
        <f>Texte!A343</f>
        <v>Total</v>
      </c>
      <c r="R168" s="588" t="str">
        <f>Texte!A345</f>
        <v>Wiesen- &amp;</v>
      </c>
      <c r="S168" s="588" t="str">
        <f>Texte!A348</f>
        <v>Übriges</v>
      </c>
      <c r="T168" s="588" t="str">
        <f>Texte!A351</f>
        <v>Kraftfutter</v>
      </c>
      <c r="Y168" s="181" t="s">
        <v>407</v>
      </c>
      <c r="Z168" s="261">
        <v>75</v>
      </c>
      <c r="AA168" s="366">
        <v>85</v>
      </c>
      <c r="AB168" s="359"/>
      <c r="AC168" s="359"/>
      <c r="AD168" s="182" t="str">
        <f>Texte!A236</f>
        <v>Talzone</v>
      </c>
      <c r="AE168" s="360">
        <v>1</v>
      </c>
      <c r="AG168" s="446">
        <f aca="true" t="shared" si="13" ref="AG168:AG173">($AE168*C205)+(E205*AG$165*$AE168)</f>
        <v>0</v>
      </c>
      <c r="AH168" s="359"/>
      <c r="AI168" s="359"/>
      <c r="AJ168" s="359"/>
      <c r="AK168" s="362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</row>
    <row r="169" spans="2:48" ht="11.25" customHeight="1">
      <c r="B169" s="217"/>
      <c r="C169" s="155"/>
      <c r="D169" s="155"/>
      <c r="E169" s="368"/>
      <c r="F169" s="370" t="str">
        <f>Texte!A322</f>
        <v>Bedarf</v>
      </c>
      <c r="G169" s="371"/>
      <c r="H169" s="225" t="str">
        <f>Texte!A324</f>
        <v>Weidefutter</v>
      </c>
      <c r="I169" s="226"/>
      <c r="J169" s="689" t="str">
        <f>Texte!A327</f>
        <v>Rau- und Saftfutter</v>
      </c>
      <c r="K169" s="691"/>
      <c r="L169" s="693" t="str">
        <f>Texte!A328</f>
        <v>Nebenprodukte</v>
      </c>
      <c r="M169" s="694"/>
      <c r="N169" s="372"/>
      <c r="O169" s="240"/>
      <c r="P169" s="709"/>
      <c r="Q169" s="589" t="str">
        <f>Texte!A344</f>
        <v>Bedarf</v>
      </c>
      <c r="R169" s="589" t="str">
        <f>Texte!A346</f>
        <v>Weidefutter</v>
      </c>
      <c r="S169" s="589" t="str">
        <f>Texte!A349</f>
        <v>Grundfutter </v>
      </c>
      <c r="T169" s="589"/>
      <c r="Y169" s="181" t="s">
        <v>698</v>
      </c>
      <c r="Z169" s="261">
        <v>15</v>
      </c>
      <c r="AA169" s="366">
        <v>5</v>
      </c>
      <c r="AB169" s="359"/>
      <c r="AC169" s="359"/>
      <c r="AD169" s="182" t="str">
        <f>Texte!A237</f>
        <v>Hügelzone</v>
      </c>
      <c r="AE169" s="360">
        <v>0.8</v>
      </c>
      <c r="AG169" s="446">
        <f t="shared" si="13"/>
        <v>0</v>
      </c>
      <c r="AH169" s="359"/>
      <c r="AI169" s="359"/>
      <c r="AJ169" s="359"/>
      <c r="AK169" s="362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</row>
    <row r="170" spans="2:48" ht="11.25" customHeight="1">
      <c r="B170" s="217"/>
      <c r="C170" s="155"/>
      <c r="D170" s="155"/>
      <c r="E170" s="368"/>
      <c r="F170" s="671" t="s">
        <v>120</v>
      </c>
      <c r="G170" s="673"/>
      <c r="H170" s="672" t="s">
        <v>464</v>
      </c>
      <c r="I170" s="674"/>
      <c r="J170" s="690" t="s">
        <v>1014</v>
      </c>
      <c r="K170" s="692"/>
      <c r="L170" s="695" t="s">
        <v>111</v>
      </c>
      <c r="M170" s="696"/>
      <c r="N170" s="675" t="str">
        <f>Texte!A330</f>
        <v>(A4+A7 in TS)</v>
      </c>
      <c r="O170" s="676"/>
      <c r="P170" s="709"/>
      <c r="Q170" s="334"/>
      <c r="R170" s="241" t="str">
        <f>Texte!A347</f>
        <v>.</v>
      </c>
      <c r="S170" s="241" t="str">
        <f>Texte!A350</f>
        <v>total</v>
      </c>
      <c r="T170" s="334"/>
      <c r="Y170" s="181" t="s">
        <v>699</v>
      </c>
      <c r="Z170" s="261">
        <v>10</v>
      </c>
      <c r="AA170" s="366">
        <v>10</v>
      </c>
      <c r="AB170" s="359"/>
      <c r="AC170" s="359"/>
      <c r="AD170" s="182" t="str">
        <f>Texte!A238</f>
        <v>Bergzone 1</v>
      </c>
      <c r="AE170" s="360">
        <v>0.7</v>
      </c>
      <c r="AG170" s="446">
        <f t="shared" si="13"/>
        <v>0</v>
      </c>
      <c r="AH170" s="359"/>
      <c r="AI170" s="359"/>
      <c r="AJ170" s="359"/>
      <c r="AK170" s="362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</row>
    <row r="171" spans="2:48" ht="11.25" customHeight="1">
      <c r="B171" s="227"/>
      <c r="C171" s="197"/>
      <c r="D171" s="197"/>
      <c r="E171" s="228"/>
      <c r="F171" s="242" t="s">
        <v>815</v>
      </c>
      <c r="G171" s="373" t="s">
        <v>816</v>
      </c>
      <c r="H171" s="242" t="s">
        <v>815</v>
      </c>
      <c r="I171" s="242" t="s">
        <v>817</v>
      </c>
      <c r="J171" s="242" t="s">
        <v>815</v>
      </c>
      <c r="K171" s="374" t="s">
        <v>816</v>
      </c>
      <c r="L171" s="697" t="s">
        <v>815</v>
      </c>
      <c r="M171" s="698" t="s">
        <v>816</v>
      </c>
      <c r="N171" s="375" t="s">
        <v>815</v>
      </c>
      <c r="O171" s="376" t="s">
        <v>817</v>
      </c>
      <c r="P171" s="709"/>
      <c r="Q171" s="242" t="s">
        <v>815</v>
      </c>
      <c r="R171" s="242" t="s">
        <v>815</v>
      </c>
      <c r="S171" s="242" t="s">
        <v>815</v>
      </c>
      <c r="T171" s="242" t="s">
        <v>815</v>
      </c>
      <c r="Y171" s="181" t="s">
        <v>1260</v>
      </c>
      <c r="Z171" s="261">
        <v>90</v>
      </c>
      <c r="AA171" s="366">
        <v>90</v>
      </c>
      <c r="AB171" s="359"/>
      <c r="AC171" s="359"/>
      <c r="AD171" s="182" t="str">
        <f>Texte!A239</f>
        <v>Bergzone 2</v>
      </c>
      <c r="AE171" s="360">
        <v>0.6</v>
      </c>
      <c r="AG171" s="446">
        <f t="shared" si="13"/>
        <v>0</v>
      </c>
      <c r="AH171" s="359"/>
      <c r="AI171" s="359"/>
      <c r="AJ171" s="359"/>
      <c r="AK171" s="362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</row>
    <row r="172" spans="2:48" ht="11.25" customHeight="1">
      <c r="B172" s="299" t="str">
        <f>Texte!A310</f>
        <v>Gesamtverzehr</v>
      </c>
      <c r="C172" s="300"/>
      <c r="D172" s="300"/>
      <c r="E172" s="301"/>
      <c r="F172" s="636">
        <f>$N$89</f>
        <v>0</v>
      </c>
      <c r="G172" s="377"/>
      <c r="H172" s="621"/>
      <c r="I172" s="377"/>
      <c r="J172" s="621"/>
      <c r="K172" s="377"/>
      <c r="L172" s="699"/>
      <c r="M172" s="704"/>
      <c r="N172" s="636"/>
      <c r="O172" s="377"/>
      <c r="P172" s="709"/>
      <c r="Q172" s="636">
        <f>SUM(L51:L56)+SUM(M51:M56)*0.88</f>
        <v>0</v>
      </c>
      <c r="R172" s="379"/>
      <c r="S172" s="379"/>
      <c r="T172" s="379"/>
      <c r="Y172" s="677" t="s">
        <v>121</v>
      </c>
      <c r="Z172" s="678">
        <v>15</v>
      </c>
      <c r="AA172" s="679">
        <v>15</v>
      </c>
      <c r="AB172" s="359"/>
      <c r="AC172" s="359"/>
      <c r="AD172" s="182" t="str">
        <f>Texte!A240</f>
        <v>Bergzone 3</v>
      </c>
      <c r="AE172" s="360">
        <v>0.5</v>
      </c>
      <c r="AG172" s="446">
        <f t="shared" si="13"/>
        <v>0</v>
      </c>
      <c r="AH172" s="359"/>
      <c r="AI172" s="359"/>
      <c r="AJ172" s="186" t="str">
        <f>Texte!A372</f>
        <v>Grenzwerte:</v>
      </c>
      <c r="AK172" s="149"/>
      <c r="AN172" s="158"/>
      <c r="AO172" s="158"/>
      <c r="AP172" s="158"/>
      <c r="AQ172" s="158"/>
      <c r="AR172" s="158"/>
      <c r="AS172" s="158"/>
      <c r="AT172" s="158"/>
      <c r="AU172" s="158"/>
      <c r="AV172" s="158"/>
    </row>
    <row r="173" spans="2:48" ht="11.25" customHeight="1">
      <c r="B173" s="302" t="str">
        <f>Texte!A311</f>
        <v>[+] Verluste und Fehlerbereich</v>
      </c>
      <c r="C173" s="303"/>
      <c r="D173" s="303"/>
      <c r="E173" s="304"/>
      <c r="F173" s="621">
        <f>SUM($L$162:$L$163)</f>
        <v>0</v>
      </c>
      <c r="G173" s="379"/>
      <c r="H173" s="621"/>
      <c r="I173" s="379"/>
      <c r="J173" s="621"/>
      <c r="K173" s="379"/>
      <c r="L173" s="699"/>
      <c r="M173" s="705"/>
      <c r="N173" s="621"/>
      <c r="O173" s="379"/>
      <c r="P173" s="709"/>
      <c r="Q173" s="621">
        <f>IF(SUM(L51:L56)=0,"",SUM(L51:L56)/L86*F173)</f>
      </c>
      <c r="R173" s="379"/>
      <c r="S173" s="379"/>
      <c r="T173" s="379"/>
      <c r="Y173" s="378"/>
      <c r="Z173" s="261"/>
      <c r="AA173" s="181"/>
      <c r="AB173" s="359"/>
      <c r="AC173" s="359"/>
      <c r="AD173" s="182" t="str">
        <f>Texte!A241</f>
        <v>Bergzone 4</v>
      </c>
      <c r="AE173" s="360">
        <v>0.4</v>
      </c>
      <c r="AG173" s="446">
        <f t="shared" si="13"/>
        <v>0</v>
      </c>
      <c r="AH173" s="359"/>
      <c r="AI173" s="359"/>
      <c r="AJ173" s="484"/>
      <c r="AK173" s="485"/>
      <c r="AL173" s="415" t="str">
        <f>IF($V$11=1,Texte!A373,IF($V$11="",Texte!A376,Texte!A374))</f>
        <v>Keine Gebietszuteilung</v>
      </c>
      <c r="AM173" s="415"/>
      <c r="AN173" s="158"/>
      <c r="AO173" s="158"/>
      <c r="AP173" s="158"/>
      <c r="AQ173" s="158"/>
      <c r="AR173" s="158"/>
      <c r="AS173" s="158"/>
      <c r="AT173" s="158"/>
      <c r="AU173" s="158"/>
      <c r="AV173" s="158"/>
    </row>
    <row r="174" spans="2:48" ht="11.25" customHeight="1">
      <c r="B174" s="302" t="str">
        <f>Texte!A312</f>
        <v>[+] Verzehr während Sömmerung</v>
      </c>
      <c r="C174" s="303"/>
      <c r="D174" s="303"/>
      <c r="E174" s="304"/>
      <c r="F174" s="621">
        <f>L92+N93</f>
        <v>0</v>
      </c>
      <c r="G174" s="379"/>
      <c r="H174" s="621"/>
      <c r="I174" s="379"/>
      <c r="J174" s="621"/>
      <c r="K174" s="379"/>
      <c r="L174" s="699"/>
      <c r="M174" s="705"/>
      <c r="N174" s="621"/>
      <c r="O174" s="379"/>
      <c r="P174" s="709"/>
      <c r="Q174" s="621">
        <f>SUM(R51:R56)</f>
        <v>0</v>
      </c>
      <c r="R174" s="379"/>
      <c r="S174" s="379"/>
      <c r="T174" s="379"/>
      <c r="Y174" s="378"/>
      <c r="Z174" s="261"/>
      <c r="AA174" s="181"/>
      <c r="AB174" s="359"/>
      <c r="AC174" s="359"/>
      <c r="AD174" s="182"/>
      <c r="AE174" s="360"/>
      <c r="AG174" s="448"/>
      <c r="AH174" s="359"/>
      <c r="AI174" s="359"/>
      <c r="AJ174" s="217"/>
      <c r="AK174" s="155"/>
      <c r="AL174" s="552"/>
      <c r="AM174" s="233"/>
      <c r="AN174" s="158"/>
      <c r="AO174" s="158"/>
      <c r="AP174" s="158"/>
      <c r="AQ174" s="158"/>
      <c r="AR174" s="158"/>
      <c r="AS174" s="158"/>
      <c r="AT174" s="158"/>
      <c r="AU174" s="158"/>
      <c r="AV174" s="158"/>
    </row>
    <row r="175" spans="2:48" ht="11.25" customHeight="1">
      <c r="B175" s="302" t="str">
        <f>Texte!A313</f>
        <v>Produktion</v>
      </c>
      <c r="C175" s="303"/>
      <c r="D175" s="303"/>
      <c r="E175" s="304"/>
      <c r="F175" s="621"/>
      <c r="G175" s="379"/>
      <c r="H175" s="621">
        <f>$L$120</f>
        <v>0</v>
      </c>
      <c r="I175" s="379"/>
      <c r="J175" s="621">
        <f>$L$121</f>
        <v>0</v>
      </c>
      <c r="K175" s="379"/>
      <c r="L175" s="699"/>
      <c r="M175" s="705"/>
      <c r="N175" s="621"/>
      <c r="O175" s="379"/>
      <c r="P175" s="709"/>
      <c r="Q175" s="379"/>
      <c r="R175" s="626">
        <f>R180-R177</f>
        <v>0</v>
      </c>
      <c r="S175" s="626">
        <f>SUM(Q100:Q106)</f>
        <v>0</v>
      </c>
      <c r="T175" s="379"/>
      <c r="Y175" s="380"/>
      <c r="Z175" s="261"/>
      <c r="AA175" s="181"/>
      <c r="AB175" s="359"/>
      <c r="AC175" s="359"/>
      <c r="AD175" s="182"/>
      <c r="AE175" s="150"/>
      <c r="AG175" s="448"/>
      <c r="AH175" s="707">
        <f>I17</f>
        <v>0</v>
      </c>
      <c r="AI175" s="707">
        <f>L17</f>
        <v>0</v>
      </c>
      <c r="AJ175" s="217" t="str">
        <f>Texte!$A323</f>
        <v>Wiesen- und</v>
      </c>
      <c r="AK175" s="155"/>
      <c r="AL175" s="482">
        <f>IF($V$11=1,$Z$168,IF($V$11="","",$AA$168))</f>
      </c>
      <c r="AM175" s="483"/>
      <c r="AN175" s="158"/>
      <c r="AO175" s="158"/>
      <c r="AP175" s="158"/>
      <c r="AQ175" s="158"/>
      <c r="AR175" s="158"/>
      <c r="AS175" s="158"/>
      <c r="AT175" s="158"/>
      <c r="AU175" s="158"/>
      <c r="AV175" s="158"/>
    </row>
    <row r="176" spans="2:48" ht="12.75" customHeight="1">
      <c r="B176" s="302" t="str">
        <f>Texte!A314</f>
        <v>[+] Zufuhr</v>
      </c>
      <c r="C176" s="303"/>
      <c r="D176" s="303"/>
      <c r="E176" s="304"/>
      <c r="F176" s="621"/>
      <c r="G176" s="379"/>
      <c r="H176" s="621">
        <f>$J$156</f>
        <v>0</v>
      </c>
      <c r="I176" s="379"/>
      <c r="J176" s="621">
        <f>SUM($J$157,$K$158)</f>
        <v>0</v>
      </c>
      <c r="K176" s="379"/>
      <c r="L176" s="699">
        <f>J159</f>
        <v>0</v>
      </c>
      <c r="M176" s="705"/>
      <c r="N176" s="621">
        <f>$N$88*0.88</f>
        <v>0</v>
      </c>
      <c r="O176" s="379"/>
      <c r="P176" s="709"/>
      <c r="Q176" s="379"/>
      <c r="R176" s="379"/>
      <c r="S176" s="621">
        <f>SUM(Q134:Q152)</f>
        <v>0</v>
      </c>
      <c r="T176" s="626">
        <f>SUM(M51:M56)*0.88</f>
        <v>0</v>
      </c>
      <c r="Y176" s="359" t="s">
        <v>591</v>
      </c>
      <c r="Z176" s="261" t="s">
        <v>696</v>
      </c>
      <c r="AA176" s="181" t="s">
        <v>697</v>
      </c>
      <c r="AB176" s="359"/>
      <c r="AC176" s="359"/>
      <c r="AD176" s="182"/>
      <c r="AE176" s="182"/>
      <c r="AG176" s="367"/>
      <c r="AH176" s="359"/>
      <c r="AI176" s="359"/>
      <c r="AJ176" s="251" t="str">
        <f>Texte!$A324</f>
        <v>Weidefutter</v>
      </c>
      <c r="AK176" s="346"/>
      <c r="AL176" s="417"/>
      <c r="AM176" s="418"/>
      <c r="AN176" s="158"/>
      <c r="AO176" s="158"/>
      <c r="AP176" s="158"/>
      <c r="AQ176" s="158"/>
      <c r="AR176" s="158"/>
      <c r="AS176" s="158"/>
      <c r="AT176" s="158"/>
      <c r="AU176" s="158"/>
      <c r="AV176" s="158"/>
    </row>
    <row r="177" spans="2:48" ht="12.75" customHeight="1">
      <c r="B177" s="302" t="str">
        <f>Texte!A315</f>
        <v>[+] Futter während Sömmerung</v>
      </c>
      <c r="C177" s="303"/>
      <c r="D177" s="303"/>
      <c r="E177" s="304"/>
      <c r="F177" s="621"/>
      <c r="G177" s="379"/>
      <c r="H177" s="621">
        <f>L92</f>
        <v>0</v>
      </c>
      <c r="I177" s="379"/>
      <c r="J177" s="621"/>
      <c r="K177" s="379"/>
      <c r="L177" s="699"/>
      <c r="M177" s="705"/>
      <c r="N177" s="621">
        <f>N93</f>
        <v>0</v>
      </c>
      <c r="O177" s="379"/>
      <c r="P177" s="709"/>
      <c r="Q177" s="379"/>
      <c r="R177" s="626">
        <f>SUM(R51:R56)</f>
        <v>0</v>
      </c>
      <c r="S177" s="379"/>
      <c r="T177" s="379"/>
      <c r="Y177" s="359"/>
      <c r="Z177" s="261"/>
      <c r="AA177" s="181"/>
      <c r="AB177" s="359"/>
      <c r="AC177" s="359"/>
      <c r="AD177" s="182"/>
      <c r="AE177" s="182"/>
      <c r="AG177" s="367"/>
      <c r="AH177" s="359"/>
      <c r="AI177" s="359"/>
      <c r="AJ177" s="217"/>
      <c r="AK177" s="155"/>
      <c r="AL177" s="482"/>
      <c r="AM177" s="483"/>
      <c r="AN177" s="158"/>
      <c r="AO177" s="158"/>
      <c r="AP177" s="158"/>
      <c r="AQ177" s="158"/>
      <c r="AR177" s="158"/>
      <c r="AS177" s="158"/>
      <c r="AT177" s="158"/>
      <c r="AU177" s="158"/>
      <c r="AV177" s="158"/>
    </row>
    <row r="178" spans="2:48" ht="12.75" customHeight="1">
      <c r="B178" s="302" t="str">
        <f>Texte!A316</f>
        <v>[-] Wegfuhr</v>
      </c>
      <c r="C178" s="303"/>
      <c r="D178" s="303"/>
      <c r="E178" s="304"/>
      <c r="F178" s="626"/>
      <c r="G178" s="379"/>
      <c r="H178" s="626">
        <f>$I$154*-1</f>
        <v>0</v>
      </c>
      <c r="I178" s="379"/>
      <c r="J178" s="626">
        <f>$I$155*-1</f>
        <v>0</v>
      </c>
      <c r="K178" s="379"/>
      <c r="L178" s="700"/>
      <c r="M178" s="705"/>
      <c r="N178" s="626"/>
      <c r="O178" s="379"/>
      <c r="P178" s="709"/>
      <c r="Q178" s="379"/>
      <c r="R178" s="379"/>
      <c r="S178" s="379"/>
      <c r="T178" s="379"/>
      <c r="Y178" s="359" t="s">
        <v>1259</v>
      </c>
      <c r="Z178" s="446" t="str">
        <f>IF(AND($V$11=1,$I$180&gt;=$Z$168),"ok","nein")</f>
        <v>nein</v>
      </c>
      <c r="AA178" s="446" t="str">
        <f>IF(AND($V$11=2,$I$180&gt;=$AA$168),"ok","nein")</f>
        <v>nein</v>
      </c>
      <c r="AB178" s="359"/>
      <c r="AC178" s="359"/>
      <c r="AD178" s="182" t="s">
        <v>592</v>
      </c>
      <c r="AE178" s="448"/>
      <c r="AF178" s="183"/>
      <c r="AG178" s="446">
        <f>IF($J$117=0,"",SUM($AG$168:$AG$173)/$J$117)</f>
      </c>
      <c r="AH178" s="359"/>
      <c r="AI178" s="359"/>
      <c r="AJ178" s="413" t="str">
        <f>Texte!$A329</f>
        <v>Kraftfutter</v>
      </c>
      <c r="AK178" s="414"/>
      <c r="AL178" s="471">
        <f>IF($V$11=1,$Z$170,IF($V$11="","",$AA$170))</f>
      </c>
      <c r="AM178" s="419"/>
      <c r="AN178" s="158"/>
      <c r="AO178" s="158"/>
      <c r="AP178" s="158"/>
      <c r="AQ178" s="158"/>
      <c r="AR178" s="158"/>
      <c r="AS178" s="158"/>
      <c r="AT178" s="158"/>
      <c r="AU178" s="158"/>
      <c r="AV178" s="158"/>
    </row>
    <row r="179" spans="2:48" ht="12.75" customHeight="1" thickBot="1">
      <c r="B179" s="450" t="str">
        <f>Texte!A317</f>
        <v>[-] Grundfutter übrige Tiere</v>
      </c>
      <c r="C179" s="451"/>
      <c r="D179" s="451"/>
      <c r="E179" s="452"/>
      <c r="F179" s="640"/>
      <c r="G179" s="381"/>
      <c r="H179" s="625">
        <f>$M$82*-1</f>
        <v>0</v>
      </c>
      <c r="I179" s="381"/>
      <c r="J179" s="625">
        <f>$L$82*-1-($M$82*-1)</f>
        <v>0</v>
      </c>
      <c r="K179" s="379"/>
      <c r="L179" s="701"/>
      <c r="M179" s="705"/>
      <c r="N179" s="635"/>
      <c r="O179" s="381"/>
      <c r="P179" s="709"/>
      <c r="Q179" s="379"/>
      <c r="R179" s="379"/>
      <c r="S179" s="379"/>
      <c r="T179" s="379"/>
      <c r="Y179" s="680" t="s">
        <v>590</v>
      </c>
      <c r="Z179" s="681" t="str">
        <f>IF(AND($V$11=1,$I$180+$M$180+$K$180&gt;=$Z$171,$I$180&gt;=$Z$168),"ok","nein")</f>
        <v>nein</v>
      </c>
      <c r="AA179" s="681" t="str">
        <f>IF(AND($V$11=2,$I$180+$M$180+$K$180&gt;=$AA$171,$I$180&gt;=$AA$168),"ok","nein")</f>
        <v>nein</v>
      </c>
      <c r="AB179" s="359"/>
      <c r="AC179" s="359"/>
      <c r="AD179" s="182"/>
      <c r="AE179" s="182"/>
      <c r="AF179" s="183"/>
      <c r="AG179" s="183"/>
      <c r="AH179" s="187"/>
      <c r="AJ179" s="413" t="str">
        <f>Texte!$A377</f>
        <v>Grundfutter</v>
      </c>
      <c r="AK179" s="480"/>
      <c r="AL179" s="471">
        <f>IF($V$11=1,$Z$171,IF($V$11="","",$AA$171))</f>
      </c>
      <c r="AM179" s="419"/>
      <c r="AN179" s="158"/>
      <c r="AO179" s="158"/>
      <c r="AP179" s="158"/>
      <c r="AQ179" s="158"/>
      <c r="AR179" s="158"/>
      <c r="AS179" s="158"/>
      <c r="AT179" s="158"/>
      <c r="AU179" s="158"/>
      <c r="AV179" s="158"/>
    </row>
    <row r="180" spans="2:48" ht="12.75" customHeight="1" thickBot="1">
      <c r="B180" s="382" t="str">
        <f>Texte!A318</f>
        <v>Bilanz                                      </v>
      </c>
      <c r="C180" s="383"/>
      <c r="D180" s="383"/>
      <c r="E180" s="384"/>
      <c r="F180" s="454">
        <f>SUM($F$172:$F$179)</f>
        <v>0</v>
      </c>
      <c r="G180" s="455">
        <v>100</v>
      </c>
      <c r="H180" s="456">
        <f>SUM($H$175:$H$179)</f>
        <v>0</v>
      </c>
      <c r="I180" s="385">
        <f>IF($F$180=0,"",ROUND($H$180/$F$180*100,1))</f>
      </c>
      <c r="J180" s="457">
        <f>SUM($J$175:$J$179)</f>
        <v>0</v>
      </c>
      <c r="K180" s="385">
        <f>IF(OR($J$180&lt;0,$F$180=0),"",ROUND($J$180/$F$180*100,1))</f>
      </c>
      <c r="L180" s="702">
        <f>SUM($L$175:$L$179)</f>
        <v>0</v>
      </c>
      <c r="M180" s="703">
        <f>IF(OR($L$180&lt;0,$F$180=0),"",ROUND($L$180/$F$180*100,1))</f>
      </c>
      <c r="N180" s="456">
        <f>SUM($N$175:$N$179)</f>
        <v>0</v>
      </c>
      <c r="O180" s="386">
        <f>IF($F$180=0,"",ROUND($N$180/$F$180*100,1))</f>
      </c>
      <c r="P180" s="709"/>
      <c r="Q180" s="590">
        <f>SUM(Q172:Q179)</f>
        <v>0</v>
      </c>
      <c r="R180" s="454">
        <f>Q180-S180-T180</f>
        <v>0</v>
      </c>
      <c r="S180" s="454">
        <f>SUM(S172:S179)</f>
        <v>0</v>
      </c>
      <c r="T180" s="591">
        <f>SUM(T172:T179)</f>
        <v>0</v>
      </c>
      <c r="Y180" s="359" t="s">
        <v>699</v>
      </c>
      <c r="Z180" s="446" t="str">
        <f>IF(AND($V$11=1,$O$180&lt;=$Z$170),"ok","nein")</f>
        <v>nein</v>
      </c>
      <c r="AA180" s="446" t="str">
        <f>IF(AND($V$11=2,$O$180&lt;=$AA$170),"ok","nein")</f>
        <v>nein</v>
      </c>
      <c r="AB180" s="359"/>
      <c r="AC180" s="359"/>
      <c r="AD180" s="182"/>
      <c r="AE180" s="387"/>
      <c r="AF180" s="730"/>
      <c r="AG180" s="731"/>
      <c r="AH180" s="731"/>
      <c r="AI180" s="731"/>
      <c r="AJ180" s="227" t="str">
        <f>Texte!$A326</f>
        <v>total</v>
      </c>
      <c r="AK180" s="228"/>
      <c r="AL180" s="486"/>
      <c r="AM180" s="481"/>
      <c r="AN180" s="158"/>
      <c r="AO180" s="158"/>
      <c r="AP180" s="158"/>
      <c r="AQ180" s="158"/>
      <c r="AR180" s="158"/>
      <c r="AS180" s="158"/>
      <c r="AT180" s="158"/>
      <c r="AU180" s="158"/>
      <c r="AV180" s="158"/>
    </row>
    <row r="181" spans="2:48" ht="12.75" customHeight="1" thickBot="1">
      <c r="B181" s="390" t="str">
        <f>Texte!A319</f>
        <v>Erforderliche Anteile an der Ration</v>
      </c>
      <c r="C181" s="391"/>
      <c r="D181" s="391"/>
      <c r="E181" s="392"/>
      <c r="F181" s="192"/>
      <c r="G181" s="393"/>
      <c r="H181" s="189" t="s">
        <v>47</v>
      </c>
      <c r="I181" s="453">
        <f>IF($V$11=1,$Z$168,IF($V$11=2,$AA$168,""))</f>
      </c>
      <c r="J181" s="192"/>
      <c r="K181" s="192"/>
      <c r="L181" s="314" t="str">
        <f>Texte!A320</f>
        <v>Nebenprodukte+Kraftfutter ≤</v>
      </c>
      <c r="M181" s="453">
        <v>15</v>
      </c>
      <c r="N181" s="314" t="s">
        <v>48</v>
      </c>
      <c r="O181" s="453">
        <f>$Z$170</f>
        <v>10</v>
      </c>
      <c r="P181" s="276"/>
      <c r="Q181" s="385">
        <v>100</v>
      </c>
      <c r="R181" s="385">
        <f>IF($Q$180=0,"",ROUND($R$180/$Q$180*100,1))</f>
      </c>
      <c r="S181" s="385">
        <f>IF(OR($S$180&lt;0,$Q$180=0),"",ROUND($S$180/$Q$180*100,1))</f>
      </c>
      <c r="T181" s="385">
        <f>IF($Q$180=0,"",ROUND($T$180/$Q$180*100,1))</f>
      </c>
      <c r="Y181" s="680" t="s">
        <v>1258</v>
      </c>
      <c r="Z181" s="681" t="str">
        <f>IF(AND($Z$178="ok",$Z$179="ok",$Z$180="ok",$Z$182="ok"),"io","n. io")</f>
        <v>n. io</v>
      </c>
      <c r="AA181" s="681" t="str">
        <f>IF(AND($AA$178="ok",$AA$179="ok",$AA$180="ok",$AA$182="ok"),"io","n. io")</f>
        <v>n. io</v>
      </c>
      <c r="AB181" s="359"/>
      <c r="AC181" s="359"/>
      <c r="AD181" s="182"/>
      <c r="AE181" s="387"/>
      <c r="AF181" s="388"/>
      <c r="AG181" s="389"/>
      <c r="AH181" s="389"/>
      <c r="AI181" s="389"/>
      <c r="AJ181" s="362"/>
      <c r="AK181" s="362"/>
      <c r="AL181" s="416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</row>
    <row r="182" spans="2:48" ht="12.75" customHeight="1" thickBot="1">
      <c r="B182" s="394"/>
      <c r="C182" s="192"/>
      <c r="D182" s="192"/>
      <c r="E182" s="192"/>
      <c r="F182" s="543">
        <f>IF(OR(H180&lt;0,J180&lt;0,N180&lt;0),Texte!A332,"")</f>
      </c>
      <c r="G182" s="447"/>
      <c r="H182" s="192"/>
      <c r="I182" s="395"/>
      <c r="J182" s="175"/>
      <c r="K182" s="175"/>
      <c r="L182" s="175"/>
      <c r="N182" s="287"/>
      <c r="O182" s="410" t="str">
        <f>IF($V$11="",Texte!A376,"")</f>
        <v>Keine Gebietszuteilung</v>
      </c>
      <c r="P182" s="410"/>
      <c r="Y182" s="682" t="s">
        <v>121</v>
      </c>
      <c r="Z182" s="681" t="str">
        <f>IF(AND($V$11=1,$O$180+$M$180&lt;=$Z$172),"ok","nein")</f>
        <v>nein</v>
      </c>
      <c r="AA182" s="681" t="str">
        <f>IF(AND($V$11=2,$O$180+$M$180&lt;=$AA$172),"ok","nein")</f>
        <v>nein</v>
      </c>
      <c r="AB182" s="359"/>
      <c r="AC182" s="359"/>
      <c r="AD182" s="182"/>
      <c r="AE182" s="387"/>
      <c r="AF182" s="388"/>
      <c r="AG182" s="389"/>
      <c r="AH182" s="389"/>
      <c r="AI182" s="389"/>
      <c r="AJ182" s="155"/>
      <c r="AK182" s="362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</row>
    <row r="183" spans="1:48" ht="7.5" customHeight="1">
      <c r="A183" s="397"/>
      <c r="B183" s="398"/>
      <c r="C183" s="399"/>
      <c r="D183" s="399"/>
      <c r="E183" s="399"/>
      <c r="F183" s="401"/>
      <c r="G183" s="399"/>
      <c r="H183" s="401"/>
      <c r="I183" s="400"/>
      <c r="J183" s="401"/>
      <c r="K183" s="401"/>
      <c r="L183" s="401"/>
      <c r="M183" s="400"/>
      <c r="N183" s="400"/>
      <c r="O183" s="403"/>
      <c r="P183" s="710"/>
      <c r="Q183" s="398"/>
      <c r="R183" s="400"/>
      <c r="S183" s="400"/>
      <c r="T183" s="403"/>
      <c r="Y183" s="359"/>
      <c r="Z183" s="261"/>
      <c r="AA183" s="181"/>
      <c r="AB183" s="359"/>
      <c r="AC183" s="359"/>
      <c r="AD183" s="182"/>
      <c r="AE183" s="387"/>
      <c r="AF183" s="388"/>
      <c r="AG183" s="389"/>
      <c r="AH183" s="389"/>
      <c r="AI183" s="389"/>
      <c r="AJ183" s="362"/>
      <c r="AK183" s="362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</row>
    <row r="184" spans="1:48" ht="12.75" customHeight="1">
      <c r="A184" s="397"/>
      <c r="B184" s="458" t="str">
        <f>Texte!A333</f>
        <v>Erfüllung der erforderlichen Anteile an der Ration</v>
      </c>
      <c r="C184" s="393"/>
      <c r="D184" s="393"/>
      <c r="E184" s="155"/>
      <c r="F184" s="155"/>
      <c r="G184" s="393"/>
      <c r="H184" s="192"/>
      <c r="I184" s="137"/>
      <c r="J184" s="137"/>
      <c r="K184" s="137"/>
      <c r="L184" s="137"/>
      <c r="M184" s="137"/>
      <c r="N184" s="192"/>
      <c r="O184" s="459" t="str">
        <f>IF($V$11=1,IF($Z$181="n. io",Texte!$A$336,Texte!$A$335),IF($AA$181="n. io",Texte!$A$336,Texte!$A$335))</f>
        <v>nein</v>
      </c>
      <c r="P184" s="710"/>
      <c r="Q184" s="458" t="str">
        <f>Texte!A352</f>
        <v>Erfüllung Mutterkuh &amp; Kalb</v>
      </c>
      <c r="R184" s="137"/>
      <c r="S184" s="137"/>
      <c r="T184" s="459" t="str">
        <f>IF(Z198="nein",Texte!$A$356,IF($V$11=1,IF($Z$196="n. io",Texte!$A$336,Texte!$A$335),IF($AA$196="n. io",Texte!$A$336,Texte!$A$335)))</f>
        <v>nein</v>
      </c>
      <c r="Y184" s="261"/>
      <c r="Z184" s="448"/>
      <c r="AA184" s="181"/>
      <c r="AB184" s="359"/>
      <c r="AC184" s="359"/>
      <c r="AD184" s="182"/>
      <c r="AE184" s="387"/>
      <c r="AF184" s="388"/>
      <c r="AG184" s="389"/>
      <c r="AH184" s="389"/>
      <c r="AI184" s="389"/>
      <c r="AJ184" s="362"/>
      <c r="AK184" s="362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</row>
    <row r="185" spans="1:48" ht="7.5" customHeight="1" thickBot="1">
      <c r="A185" s="397"/>
      <c r="B185" s="460"/>
      <c r="C185" s="461"/>
      <c r="D185" s="461"/>
      <c r="E185" s="162"/>
      <c r="F185" s="162"/>
      <c r="G185" s="461"/>
      <c r="H185" s="462"/>
      <c r="I185" s="463"/>
      <c r="J185" s="463"/>
      <c r="K185" s="463"/>
      <c r="L185" s="463"/>
      <c r="M185" s="463"/>
      <c r="N185" s="462"/>
      <c r="O185" s="404"/>
      <c r="P185" s="710"/>
      <c r="Q185" s="460"/>
      <c r="R185" s="463"/>
      <c r="S185" s="463"/>
      <c r="T185" s="404"/>
      <c r="Y185" s="261"/>
      <c r="Z185" s="448"/>
      <c r="AA185" s="181"/>
      <c r="AB185" s="359"/>
      <c r="AC185" s="359"/>
      <c r="AD185" s="182"/>
      <c r="AE185" s="387"/>
      <c r="AF185" s="388"/>
      <c r="AG185" s="389"/>
      <c r="AH185" s="389"/>
      <c r="AI185" s="389"/>
      <c r="AJ185" s="362"/>
      <c r="AK185" s="362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</row>
    <row r="186" spans="1:48" ht="12.75" customHeight="1">
      <c r="A186" s="397"/>
      <c r="B186" s="399"/>
      <c r="C186" s="399"/>
      <c r="D186" s="399"/>
      <c r="E186" s="400"/>
      <c r="F186" s="400"/>
      <c r="G186" s="399"/>
      <c r="H186" s="401"/>
      <c r="I186" s="402"/>
      <c r="J186" s="402"/>
      <c r="K186" s="402"/>
      <c r="L186" s="402"/>
      <c r="M186" s="402"/>
      <c r="N186" s="401"/>
      <c r="O186" s="464"/>
      <c r="P186" s="710"/>
      <c r="Y186" s="261"/>
      <c r="Z186" s="449"/>
      <c r="AA186" s="181"/>
      <c r="AB186" s="359"/>
      <c r="AC186" s="359"/>
      <c r="AD186" s="182"/>
      <c r="AE186" s="387"/>
      <c r="AF186" s="388"/>
      <c r="AG186" s="389"/>
      <c r="AH186" s="389"/>
      <c r="AI186" s="389"/>
      <c r="AJ186" s="362"/>
      <c r="AK186" s="362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</row>
    <row r="187" spans="1:48" ht="15.75" customHeight="1">
      <c r="A187" s="397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Q187" s="177" t="str">
        <f>Texte!A355</f>
        <v>Bilanz übrige Raufutterverzehrer</v>
      </c>
      <c r="Y187" s="181" t="s">
        <v>593</v>
      </c>
      <c r="Z187" s="446">
        <f>IF(O184=Texte!A335,1,2)</f>
        <v>2</v>
      </c>
      <c r="AA187" s="181" t="s">
        <v>1261</v>
      </c>
      <c r="AB187" s="359"/>
      <c r="AC187" s="359"/>
      <c r="AD187" s="182"/>
      <c r="AE187" s="360"/>
      <c r="AF187" s="183"/>
      <c r="AG187" s="183"/>
      <c r="AH187" s="187"/>
      <c r="AJ187" s="362"/>
      <c r="AK187" s="362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</row>
    <row r="188" spans="1:48" ht="5.25" customHeight="1" thickBot="1">
      <c r="A188" s="195"/>
      <c r="Y188" s="181"/>
      <c r="Z188" s="446">
        <f>IF(O215=Texte!A335,1,2)</f>
        <v>2</v>
      </c>
      <c r="AA188" s="181" t="s">
        <v>1262</v>
      </c>
      <c r="AB188" s="359"/>
      <c r="AC188" s="359"/>
      <c r="AD188" s="182"/>
      <c r="AE188" s="360"/>
      <c r="AF188" s="183"/>
      <c r="AG188" s="183"/>
      <c r="AH188" s="187"/>
      <c r="AJ188" s="362"/>
      <c r="AK188" s="362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</row>
    <row r="189" spans="2:50" ht="12.75" customHeight="1" thickBot="1">
      <c r="B189" s="405" t="str">
        <f>Texte!A339</f>
        <v>Ort und Datum:</v>
      </c>
      <c r="C189" s="60"/>
      <c r="D189" s="61"/>
      <c r="E189" s="61"/>
      <c r="F189" s="61"/>
      <c r="G189" s="61"/>
      <c r="I189" s="317" t="str">
        <f>Texte!A340</f>
        <v>Unterschrift:</v>
      </c>
      <c r="J189" s="60"/>
      <c r="K189" s="60"/>
      <c r="L189" s="60"/>
      <c r="M189" s="61"/>
      <c r="N189" s="61"/>
      <c r="O189" s="61"/>
      <c r="P189" s="711"/>
      <c r="Q189" s="590" t="str">
        <f>IF(Q172&lt;&gt;F172,(F180-Q180)/(F180-Q180)*100,"0")</f>
        <v>0</v>
      </c>
      <c r="R189" s="454" t="str">
        <f>IF(Q172&lt;&gt;F172,(H180-R180)/(F180-Q180)*100,"0")</f>
        <v>0</v>
      </c>
      <c r="S189" s="454" t="str">
        <f>IF(Q172&lt;&gt;F172,(J180-S180)/(F180-Q180)*100,"0")</f>
        <v>0</v>
      </c>
      <c r="T189" s="591" t="str">
        <f>IF(Q172&lt;&gt;F172,(N180-T180)/(F180-Q180)*100,"0")</f>
        <v>0</v>
      </c>
      <c r="Y189" s="181"/>
      <c r="Z189" s="446">
        <f>IF(T184=Texte!A335,1,2)</f>
        <v>2</v>
      </c>
      <c r="AA189" s="181" t="s">
        <v>931</v>
      </c>
      <c r="AB189" s="181"/>
      <c r="AC189" s="181"/>
      <c r="AD189" s="181"/>
      <c r="AE189" s="387"/>
      <c r="AG189" s="151"/>
      <c r="AH189" s="150"/>
      <c r="AI189" s="150"/>
      <c r="AJ189" s="149"/>
      <c r="AL189" s="362"/>
      <c r="AM189" s="362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</row>
    <row r="190" spans="17:50" ht="12.75" customHeight="1">
      <c r="Q190" s="152" t="str">
        <f>IF(Q172&lt;&gt;F172,(F180-Q180),"0")</f>
        <v>0</v>
      </c>
      <c r="R190" s="152" t="str">
        <f>IF(Q172&lt;&gt;F172,(H180-R180),"0")</f>
        <v>0</v>
      </c>
      <c r="S190" s="152" t="str">
        <f>IF(Q172&lt;&gt;F172,(J180-S180),"0")</f>
        <v>0</v>
      </c>
      <c r="T190" s="152" t="str">
        <f>IF(Q172&lt;&gt;F172,(N180-T180),"0")</f>
        <v>0</v>
      </c>
      <c r="AB190" s="149"/>
      <c r="AC190" s="149"/>
      <c r="AD190" s="149"/>
      <c r="AE190" s="406"/>
      <c r="AG190" s="151"/>
      <c r="AH190" s="150"/>
      <c r="AI190" s="150"/>
      <c r="AJ190" s="149"/>
      <c r="AL190" s="362"/>
      <c r="AM190" s="362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</row>
    <row r="191" spans="2:50" ht="11.25" customHeight="1">
      <c r="B191" s="407" t="str">
        <f>Texte!A338</f>
        <v>Dieses Instrument dient als Nachweis für die Erfüllung der Anforderungen an die Futterbilanz für das Programm der GMF.</v>
      </c>
      <c r="Q191" s="152">
        <f>Q190+Q180</f>
        <v>0</v>
      </c>
      <c r="R191" s="152">
        <f>R190+R180</f>
        <v>0</v>
      </c>
      <c r="S191" s="152">
        <f>S190+S180</f>
        <v>0</v>
      </c>
      <c r="T191" s="152">
        <f>T190+T180</f>
        <v>0</v>
      </c>
      <c r="Y191" s="359" t="s">
        <v>891</v>
      </c>
      <c r="Z191" s="261" t="s">
        <v>696</v>
      </c>
      <c r="AA191" s="181" t="s">
        <v>697</v>
      </c>
      <c r="AB191" s="149"/>
      <c r="AC191" s="149"/>
      <c r="AE191" s="150"/>
      <c r="AG191" s="151"/>
      <c r="AH191" s="150"/>
      <c r="AI191" s="150"/>
      <c r="AJ191" s="149"/>
      <c r="AL191" s="152"/>
      <c r="AM191" s="152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</row>
    <row r="192" spans="25:50" ht="11.25" customHeight="1">
      <c r="Y192" s="359"/>
      <c r="Z192" s="261"/>
      <c r="AA192" s="181"/>
      <c r="AB192" s="149"/>
      <c r="AC192" s="149"/>
      <c r="AD192" s="149"/>
      <c r="AE192" s="150"/>
      <c r="AG192" s="151"/>
      <c r="AH192" s="150"/>
      <c r="AI192" s="150"/>
      <c r="AJ192" s="149"/>
      <c r="AL192" s="152"/>
      <c r="AM192" s="152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</row>
    <row r="193" spans="2:50" ht="12.75">
      <c r="B193" s="424"/>
      <c r="Y193" s="359" t="s">
        <v>1259</v>
      </c>
      <c r="Z193" s="446" t="str">
        <f>IF(AND($V$11=1,R181&gt;=$Z$168),"ok","nein")</f>
        <v>nein</v>
      </c>
      <c r="AA193" s="446" t="str">
        <f>IF(AND($V$11=2,$R$181&gt;=$AA$168),"ok","nein")</f>
        <v>nein</v>
      </c>
      <c r="AB193" s="149"/>
      <c r="AC193" s="149"/>
      <c r="AE193" s="150"/>
      <c r="AG193" s="151"/>
      <c r="AH193" s="150"/>
      <c r="AI193" s="150"/>
      <c r="AJ193" s="149"/>
      <c r="AL193" s="152"/>
      <c r="AM193" s="152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</row>
    <row r="194" spans="25:50" ht="12.75">
      <c r="Y194" s="359" t="s">
        <v>590</v>
      </c>
      <c r="Z194" s="446" t="str">
        <f>IF(AND($V$11=1,$R$181+$S$181&gt;=$Z$171,$R$181&gt;=$Z$168),"ok","nein")</f>
        <v>nein</v>
      </c>
      <c r="AA194" s="446" t="str">
        <f>IF(AND($V$11=2,$R$181+$S$181&gt;=$AA$171,$R$181&gt;=$AA$168),"ok","nein")</f>
        <v>nein</v>
      </c>
      <c r="AB194" s="149"/>
      <c r="AC194" s="149"/>
      <c r="AE194" s="150"/>
      <c r="AG194" s="151"/>
      <c r="AH194" s="150"/>
      <c r="AI194" s="150"/>
      <c r="AJ194" s="149"/>
      <c r="AL194" s="152"/>
      <c r="AM194" s="152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</row>
    <row r="195" spans="2:50" ht="15.75">
      <c r="B195" s="505" t="str">
        <f>Texte!A380</f>
        <v>Informationsteil</v>
      </c>
      <c r="Y195" s="359" t="s">
        <v>699</v>
      </c>
      <c r="Z195" s="446" t="str">
        <f>IF(AND($V$11=1,$T$181&lt;=$Z$170),"ok","nein")</f>
        <v>nein</v>
      </c>
      <c r="AA195" s="446" t="str">
        <f>IF(AND($V$11=2,$T$181&lt;=$AA$170),"ok","nein")</f>
        <v>nein</v>
      </c>
      <c r="AB195" s="149"/>
      <c r="AC195" s="149"/>
      <c r="AE195" s="150"/>
      <c r="AG195" s="151"/>
      <c r="AH195" s="150"/>
      <c r="AI195" s="150"/>
      <c r="AJ195" s="149"/>
      <c r="AL195" s="152"/>
      <c r="AM195" s="152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</row>
    <row r="196" spans="2:50" ht="7.5" customHeight="1">
      <c r="B196" s="505"/>
      <c r="Y196" s="359" t="s">
        <v>1258</v>
      </c>
      <c r="Z196" s="446" t="str">
        <f>IF(AND($Z$193="ok",$Z$194="ok",$Z$195="ok"),"io","n. io")</f>
        <v>n. io</v>
      </c>
      <c r="AA196" s="446" t="str">
        <f>IF(AND($AA$193="ok",$AA$194="ok",$AA$195="ok"),"io","n. io")</f>
        <v>n. io</v>
      </c>
      <c r="AB196" s="149"/>
      <c r="AC196" s="149"/>
      <c r="AE196" s="150"/>
      <c r="AG196" s="151"/>
      <c r="AH196" s="150"/>
      <c r="AI196" s="150"/>
      <c r="AJ196" s="149"/>
      <c r="AL196" s="152"/>
      <c r="AM196" s="152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</row>
    <row r="197" spans="2:50" ht="12.75" customHeight="1">
      <c r="B197" s="506" t="str">
        <f>Texte!A381</f>
        <v>Die Berechnung des massgebenden Tierbesatzes für die Futterbilanz 2019 basiert auf dem effektiven </v>
      </c>
      <c r="AB197" s="149"/>
      <c r="AC197" s="149"/>
      <c r="AE197" s="150"/>
      <c r="AG197" s="151"/>
      <c r="AH197" s="150"/>
      <c r="AI197" s="150"/>
      <c r="AJ197" s="149"/>
      <c r="AL197" s="152"/>
      <c r="AM197" s="152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</row>
    <row r="198" spans="2:50" ht="12.75" customHeight="1">
      <c r="B198" s="506" t="str">
        <f>Texte!A382</f>
        <v>Tierbestand in der Periode vom 1.1.2019 - 31.12.2019. Weil dieser zur Zeit noch nicht bekannt ist, </v>
      </c>
      <c r="Y198" s="181" t="s">
        <v>327</v>
      </c>
      <c r="Z198" s="181" t="str">
        <f>IF(AND(W107=0,W153=0),"ja","nein")</f>
        <v>ja</v>
      </c>
      <c r="AB198" s="149"/>
      <c r="AC198" s="149"/>
      <c r="AE198" s="150"/>
      <c r="AG198" s="151"/>
      <c r="AH198" s="150"/>
      <c r="AI198" s="150"/>
      <c r="AJ198" s="149"/>
      <c r="AL198" s="152"/>
      <c r="AM198" s="152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</row>
    <row r="199" spans="2:50" ht="12.75" customHeight="1">
      <c r="B199" s="506" t="str">
        <f>Texte!A383</f>
        <v>ist die Höhe der Beiträge nur eine Schätzung.</v>
      </c>
      <c r="AB199" s="149"/>
      <c r="AC199" s="149"/>
      <c r="AE199" s="150"/>
      <c r="AG199" s="151"/>
      <c r="AH199" s="150"/>
      <c r="AI199" s="150"/>
      <c r="AJ199" s="149"/>
      <c r="AL199" s="152"/>
      <c r="AM199" s="152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</row>
    <row r="200" spans="2:50" ht="12.75" customHeight="1">
      <c r="B200" s="505"/>
      <c r="AB200" s="149"/>
      <c r="AC200" s="149"/>
      <c r="AE200" s="150"/>
      <c r="AG200" s="151"/>
      <c r="AH200" s="150"/>
      <c r="AI200" s="150"/>
      <c r="AJ200" s="149"/>
      <c r="AL200" s="152"/>
      <c r="AM200" s="152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</row>
    <row r="201" spans="2:50" ht="12.75" customHeight="1">
      <c r="B201" s="561" t="str">
        <f>Texte!A231</f>
        <v>Angaben für Mindesttierbesatz</v>
      </c>
      <c r="C201" s="307"/>
      <c r="AB201" s="149"/>
      <c r="AC201" s="149"/>
      <c r="AE201" s="150"/>
      <c r="AG201" s="151"/>
      <c r="AH201" s="150"/>
      <c r="AI201" s="150"/>
      <c r="AJ201" s="149"/>
      <c r="AL201" s="152"/>
      <c r="AM201" s="152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</row>
    <row r="202" spans="2:50" ht="12.75" customHeight="1">
      <c r="B202" s="561"/>
      <c r="C202" s="563" t="str">
        <f>Texte!A233</f>
        <v>Dauergrünland</v>
      </c>
      <c r="D202" s="507"/>
      <c r="E202" s="507"/>
      <c r="AB202" s="149"/>
      <c r="AC202" s="149"/>
      <c r="AE202" s="150"/>
      <c r="AG202" s="151"/>
      <c r="AH202" s="150"/>
      <c r="AI202" s="150"/>
      <c r="AJ202" s="149"/>
      <c r="AL202" s="152"/>
      <c r="AM202" s="152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</row>
    <row r="203" spans="2:50" ht="12.75" customHeight="1">
      <c r="B203" s="561"/>
      <c r="C203" s="563" t="str">
        <f>Texte!A234</f>
        <v>Kunstwiesen</v>
      </c>
      <c r="E203" s="564" t="str">
        <f>Texte!A235</f>
        <v>BFF</v>
      </c>
      <c r="AB203" s="149"/>
      <c r="AC203" s="149"/>
      <c r="AE203" s="150"/>
      <c r="AG203" s="151"/>
      <c r="AH203" s="150"/>
      <c r="AI203" s="150"/>
      <c r="AJ203" s="149"/>
      <c r="AL203" s="152"/>
      <c r="AM203" s="152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</row>
    <row r="204" spans="2:50" ht="12.75" customHeight="1">
      <c r="B204" s="505"/>
      <c r="C204" s="565" t="s">
        <v>387</v>
      </c>
      <c r="E204" s="564" t="s">
        <v>387</v>
      </c>
      <c r="AB204" s="149"/>
      <c r="AC204" s="149"/>
      <c r="AE204" s="150"/>
      <c r="AG204" s="151"/>
      <c r="AH204" s="150"/>
      <c r="AI204" s="150"/>
      <c r="AJ204" s="149"/>
      <c r="AL204" s="152"/>
      <c r="AM204" s="152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</row>
    <row r="205" spans="2:50" ht="12.75" customHeight="1">
      <c r="B205" s="562" t="str">
        <f>Texte!A236</f>
        <v>Talzone</v>
      </c>
      <c r="C205" s="556"/>
      <c r="D205" s="566"/>
      <c r="E205" s="559"/>
      <c r="AB205" s="149"/>
      <c r="AC205" s="149"/>
      <c r="AE205" s="150"/>
      <c r="AG205" s="151"/>
      <c r="AH205" s="150"/>
      <c r="AI205" s="150"/>
      <c r="AJ205" s="149"/>
      <c r="AL205" s="152"/>
      <c r="AM205" s="152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</row>
    <row r="206" spans="2:50" ht="12.75" customHeight="1">
      <c r="B206" s="562" t="str">
        <f>Texte!A237</f>
        <v>Hügelzone</v>
      </c>
      <c r="C206" s="557"/>
      <c r="D206" s="566"/>
      <c r="E206" s="76"/>
      <c r="AB206" s="149"/>
      <c r="AC206" s="149"/>
      <c r="AE206" s="150"/>
      <c r="AG206" s="151"/>
      <c r="AH206" s="150"/>
      <c r="AI206" s="150"/>
      <c r="AJ206" s="149"/>
      <c r="AL206" s="152"/>
      <c r="AM206" s="152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</row>
    <row r="207" spans="2:50" ht="12.75" customHeight="1">
      <c r="B207" s="562" t="str">
        <f>Texte!A238</f>
        <v>Bergzone 1</v>
      </c>
      <c r="C207" s="557"/>
      <c r="D207" s="566"/>
      <c r="E207" s="76"/>
      <c r="AB207" s="149"/>
      <c r="AC207" s="149"/>
      <c r="AE207" s="150"/>
      <c r="AG207" s="151"/>
      <c r="AH207" s="150"/>
      <c r="AI207" s="150"/>
      <c r="AJ207" s="149"/>
      <c r="AL207" s="152"/>
      <c r="AM207" s="152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</row>
    <row r="208" spans="2:50" ht="12.75" customHeight="1">
      <c r="B208" s="562" t="str">
        <f>Texte!A239</f>
        <v>Bergzone 2</v>
      </c>
      <c r="C208" s="557"/>
      <c r="D208" s="566"/>
      <c r="E208" s="76"/>
      <c r="AB208" s="149"/>
      <c r="AC208" s="149"/>
      <c r="AE208" s="150"/>
      <c r="AG208" s="151"/>
      <c r="AH208" s="150"/>
      <c r="AI208" s="150"/>
      <c r="AJ208" s="149"/>
      <c r="AL208" s="152"/>
      <c r="AM208" s="152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</row>
    <row r="209" spans="2:50" ht="12.75" customHeight="1">
      <c r="B209" s="562" t="str">
        <f>Texte!A240</f>
        <v>Bergzone 3</v>
      </c>
      <c r="C209" s="557"/>
      <c r="D209" s="566"/>
      <c r="E209" s="76"/>
      <c r="AB209" s="149"/>
      <c r="AC209" s="149"/>
      <c r="AE209" s="150"/>
      <c r="AG209" s="151"/>
      <c r="AH209" s="150"/>
      <c r="AI209" s="150"/>
      <c r="AJ209" s="149"/>
      <c r="AL209" s="152"/>
      <c r="AM209" s="152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</row>
    <row r="210" spans="2:50" ht="12.75" customHeight="1">
      <c r="B210" s="562" t="str">
        <f>Texte!A241</f>
        <v>Bergzone 4</v>
      </c>
      <c r="C210" s="557"/>
      <c r="D210" s="566"/>
      <c r="E210" s="76"/>
      <c r="AB210" s="149"/>
      <c r="AC210" s="149"/>
      <c r="AE210" s="150"/>
      <c r="AG210" s="151"/>
      <c r="AH210" s="150"/>
      <c r="AI210" s="150"/>
      <c r="AJ210" s="149"/>
      <c r="AL210" s="152"/>
      <c r="AM210" s="152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</row>
    <row r="211" spans="2:50" ht="12.75">
      <c r="B211" s="562" t="str">
        <f>Texte!A242</f>
        <v>Flächen im Ausland</v>
      </c>
      <c r="C211" s="558"/>
      <c r="D211" s="567"/>
      <c r="E211" s="560"/>
      <c r="AB211" s="149"/>
      <c r="AC211" s="149"/>
      <c r="AE211" s="150"/>
      <c r="AG211" s="151"/>
      <c r="AH211" s="150"/>
      <c r="AI211" s="150"/>
      <c r="AJ211" s="149"/>
      <c r="AL211" s="152"/>
      <c r="AM211" s="152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</row>
    <row r="212" spans="2:50" ht="12.75">
      <c r="B212" s="509" t="s">
        <v>777</v>
      </c>
      <c r="C212" s="475">
        <f>SUM(C205:E211)</f>
        <v>0</v>
      </c>
      <c r="D212" s="568"/>
      <c r="E212" s="476"/>
      <c r="N212" s="397"/>
      <c r="AB212" s="149"/>
      <c r="AC212" s="149"/>
      <c r="AE212" s="150"/>
      <c r="AG212" s="151"/>
      <c r="AH212" s="150"/>
      <c r="AI212" s="150"/>
      <c r="AJ212" s="149"/>
      <c r="AL212" s="152"/>
      <c r="AM212" s="152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</row>
    <row r="213" spans="2:50" ht="7.5" customHeight="1">
      <c r="B213" s="506"/>
      <c r="AB213" s="149"/>
      <c r="AC213" s="149"/>
      <c r="AE213" s="150"/>
      <c r="AG213" s="151"/>
      <c r="AH213" s="150"/>
      <c r="AI213" s="150"/>
      <c r="AJ213" s="149"/>
      <c r="AL213" s="152"/>
      <c r="AM213" s="152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</row>
    <row r="214" spans="2:50" ht="7.5" customHeight="1">
      <c r="B214" s="506"/>
      <c r="AB214" s="149"/>
      <c r="AC214" s="149"/>
      <c r="AE214" s="150"/>
      <c r="AG214" s="151"/>
      <c r="AH214" s="150"/>
      <c r="AI214" s="150"/>
      <c r="AJ214" s="149"/>
      <c r="AL214" s="152"/>
      <c r="AM214" s="152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</row>
    <row r="215" spans="2:50" ht="12.75">
      <c r="B215" s="506" t="str">
        <f>Texte!A334</f>
        <v>Erforderlicher Mindesttierbesatz (RGVE/ha Grünfläche) für 100 % der GMF-Beiträge</v>
      </c>
      <c r="O215" s="502">
        <f>$AG$178</f>
      </c>
      <c r="P215" s="712"/>
      <c r="AB215" s="149"/>
      <c r="AC215" s="149"/>
      <c r="AE215" s="150"/>
      <c r="AG215" s="151"/>
      <c r="AH215" s="150"/>
      <c r="AI215" s="150"/>
      <c r="AJ215" s="149"/>
      <c r="AL215" s="152"/>
      <c r="AM215" s="152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</row>
    <row r="216" spans="2:50" ht="12.75">
      <c r="B216" s="508" t="str">
        <f>Texte!A384</f>
        <v>RGVE effektiv auf dem Betrieb</v>
      </c>
      <c r="D216" s="542"/>
      <c r="E216" s="498"/>
      <c r="N216" s="509" t="str">
        <f>Texte!A385</f>
        <v>Effektiver Mindesttierbesatz (RGVE/ha Grünfläche)</v>
      </c>
      <c r="O216" s="502">
        <f>IF($J$117="","",IF($E$216&lt;=0,"",$E$216/$J$117))</f>
      </c>
      <c r="P216" s="712"/>
      <c r="AB216" s="149"/>
      <c r="AC216" s="149"/>
      <c r="AE216" s="150"/>
      <c r="AG216" s="151"/>
      <c r="AH216" s="150"/>
      <c r="AI216" s="150"/>
      <c r="AJ216" s="149"/>
      <c r="AL216" s="152"/>
      <c r="AM216" s="152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</row>
    <row r="217" spans="2:50" ht="12.75">
      <c r="B217" s="507"/>
      <c r="N217" s="510"/>
      <c r="O217" s="314"/>
      <c r="P217" s="314"/>
      <c r="AB217" s="149"/>
      <c r="AC217" s="149"/>
      <c r="AE217" s="150"/>
      <c r="AG217" s="151"/>
      <c r="AH217" s="150"/>
      <c r="AI217" s="150"/>
      <c r="AJ217" s="149"/>
      <c r="AL217" s="152"/>
      <c r="AM217" s="152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</row>
    <row r="218" spans="2:50" ht="12.75">
      <c r="B218" s="508" t="str">
        <f>Texte!A386</f>
        <v>Erfüllung des Anteils … an der Ration</v>
      </c>
      <c r="N218" s="509" t="str">
        <f>Texte!A390</f>
        <v>Erfüllung des Mindesttierbesatzes für</v>
      </c>
      <c r="O218" s="501">
        <f>IF($O$215="","",MIN($O$216/$O$215*100,100))</f>
      </c>
      <c r="P218" s="713"/>
      <c r="Q218" s="508" t="str">
        <f>Texte!A391</f>
        <v>% der GMF-Beiträge</v>
      </c>
      <c r="AB218" s="149"/>
      <c r="AC218" s="149"/>
      <c r="AE218" s="150"/>
      <c r="AG218" s="151"/>
      <c r="AH218" s="150"/>
      <c r="AI218" s="150"/>
      <c r="AJ218" s="149"/>
      <c r="AL218" s="152"/>
      <c r="AM218" s="152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</row>
    <row r="219" spans="2:50" ht="12.75">
      <c r="B219" s="507" t="str">
        <f>Texte!A387</f>
        <v>  - Wiesen- und Weidefutter</v>
      </c>
      <c r="E219" s="495">
        <f>IF($V$11="","",IF(AND($V$11=1,$Z$178="nein"),Texte!A$396,IF(AND($V$11=2,$AA$178="nein"),Texte!A$396,Texte!A$397)))</f>
      </c>
      <c r="N219" s="509" t="str">
        <f>Texte!A392</f>
        <v>das entspricht etwa </v>
      </c>
      <c r="O219" s="511">
        <f>IF(OR($Z$181="io",$AA$181="io"),$O$218/100*200*$J$117,"")</f>
      </c>
      <c r="P219" s="714"/>
      <c r="Q219" s="508" t="s">
        <v>73</v>
      </c>
      <c r="AB219" s="149"/>
      <c r="AC219" s="149"/>
      <c r="AE219" s="150"/>
      <c r="AG219" s="151"/>
      <c r="AH219" s="150"/>
      <c r="AI219" s="150"/>
      <c r="AJ219" s="149"/>
      <c r="AL219" s="152"/>
      <c r="AM219" s="152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</row>
    <row r="220" spans="2:50" ht="12.75">
      <c r="B220" s="507" t="str">
        <f>Texte!A388</f>
        <v>  - übriges Grundfutter</v>
      </c>
      <c r="E220" s="496">
        <f>IF($V$11="","",IF(AND($V$11=1,$Z$179="nein"),Texte!A$396,IF(AND($V$11=2,$AA$179="nein"),Texte!A$396,Texte!A$397)))</f>
      </c>
      <c r="AB220" s="149"/>
      <c r="AC220" s="149"/>
      <c r="AE220" s="150"/>
      <c r="AG220" s="151"/>
      <c r="AH220" s="150"/>
      <c r="AI220" s="150"/>
      <c r="AJ220" s="149"/>
      <c r="AL220" s="152"/>
      <c r="AM220" s="152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</row>
    <row r="221" spans="2:50" ht="12.75">
      <c r="B221" s="507" t="str">
        <f>Texte!A389</f>
        <v>  - Kraftfutter</v>
      </c>
      <c r="E221" s="497">
        <f>IF($V$11="","",IF(AND($V$11=1,$Z$180="nein"),Texte!A$396,IF(AND($V$11=2,$AA$180="nein"),Texte!A$396,Texte!A$397)))</f>
      </c>
      <c r="N221" s="509" t="str">
        <f>IF(AND($Z$181="n. io",$AA$181="n. io"),Texte!A400,IF($E$216&lt;=0,Texte!A398,Texte!A393))</f>
        <v>Sie erhalten KEINE Beiträge</v>
      </c>
      <c r="O221" s="500">
        <f>IF(OR(AND($Z$181="n. io",$AA$181="n. io"),$E$216&lt;=0),"",IF(ROUND($O$218,0)=100,Texte!A395,Texte!A394))</f>
      </c>
      <c r="P221" s="715"/>
      <c r="AB221" s="149"/>
      <c r="AC221" s="149"/>
      <c r="AE221" s="150"/>
      <c r="AG221" s="151"/>
      <c r="AH221" s="150"/>
      <c r="AI221" s="150"/>
      <c r="AJ221" s="149"/>
      <c r="AL221" s="152"/>
      <c r="AM221" s="152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</row>
    <row r="222" spans="14:50" ht="12.75">
      <c r="N222" s="503">
        <f>IF(AND(OR($Z$181="io",$AA$181="io"),$E$216&lt;=0),Texte!A399,"")</f>
      </c>
      <c r="AB222" s="149"/>
      <c r="AC222" s="149"/>
      <c r="AE222" s="150"/>
      <c r="AG222" s="151"/>
      <c r="AH222" s="150"/>
      <c r="AI222" s="150"/>
      <c r="AJ222" s="149"/>
      <c r="AL222" s="152"/>
      <c r="AM222" s="152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</row>
    <row r="223" spans="28:50" ht="12.75">
      <c r="AB223" s="149"/>
      <c r="AC223" s="149"/>
      <c r="AE223" s="150"/>
      <c r="AG223" s="151"/>
      <c r="AH223" s="150"/>
      <c r="AI223" s="150"/>
      <c r="AJ223" s="149"/>
      <c r="AL223" s="152"/>
      <c r="AM223" s="152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</row>
    <row r="224" spans="28:50" ht="12.75">
      <c r="AB224" s="149"/>
      <c r="AC224" s="149"/>
      <c r="AE224" s="150"/>
      <c r="AG224" s="151"/>
      <c r="AH224" s="150"/>
      <c r="AI224" s="150"/>
      <c r="AJ224" s="149"/>
      <c r="AL224" s="152"/>
      <c r="AM224" s="152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</row>
    <row r="225" spans="28:50" ht="12.75">
      <c r="AB225" s="149"/>
      <c r="AC225" s="149"/>
      <c r="AE225" s="150"/>
      <c r="AG225" s="151"/>
      <c r="AH225" s="150"/>
      <c r="AI225" s="150"/>
      <c r="AJ225" s="149"/>
      <c r="AL225" s="152"/>
      <c r="AM225" s="152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</row>
    <row r="226" spans="28:50" ht="12.75">
      <c r="AB226" s="149"/>
      <c r="AC226" s="149"/>
      <c r="AE226" s="150"/>
      <c r="AG226" s="151"/>
      <c r="AH226" s="150"/>
      <c r="AI226" s="150"/>
      <c r="AJ226" s="149"/>
      <c r="AL226" s="152"/>
      <c r="AM226" s="152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</row>
    <row r="227" spans="28:50" ht="12.75">
      <c r="AB227" s="149"/>
      <c r="AC227" s="149"/>
      <c r="AE227" s="150"/>
      <c r="AG227" s="151"/>
      <c r="AH227" s="150"/>
      <c r="AI227" s="150"/>
      <c r="AJ227" s="149"/>
      <c r="AL227" s="152"/>
      <c r="AM227" s="152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</row>
    <row r="228" spans="28:50" ht="12.75">
      <c r="AB228" s="149"/>
      <c r="AC228" s="149"/>
      <c r="AE228" s="150"/>
      <c r="AG228" s="151"/>
      <c r="AH228" s="150"/>
      <c r="AI228" s="150"/>
      <c r="AJ228" s="149"/>
      <c r="AL228" s="152"/>
      <c r="AM228" s="152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</row>
    <row r="229" spans="28:50" ht="12.75">
      <c r="AB229" s="149"/>
      <c r="AC229" s="149"/>
      <c r="AE229" s="150"/>
      <c r="AG229" s="151"/>
      <c r="AH229" s="150"/>
      <c r="AI229" s="150"/>
      <c r="AJ229" s="149"/>
      <c r="AL229" s="152"/>
      <c r="AM229" s="152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  <c r="AX229" s="158"/>
    </row>
    <row r="230" spans="28:50" ht="12.75">
      <c r="AB230" s="149"/>
      <c r="AC230" s="149"/>
      <c r="AE230" s="150"/>
      <c r="AG230" s="151"/>
      <c r="AH230" s="150"/>
      <c r="AI230" s="150"/>
      <c r="AJ230" s="149"/>
      <c r="AL230" s="152"/>
      <c r="AM230" s="152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</row>
    <row r="231" spans="28:50" ht="12.75">
      <c r="AB231" s="149"/>
      <c r="AC231" s="149"/>
      <c r="AE231" s="150"/>
      <c r="AG231" s="151"/>
      <c r="AH231" s="150"/>
      <c r="AI231" s="150"/>
      <c r="AJ231" s="149"/>
      <c r="AL231" s="152"/>
      <c r="AM231" s="152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</row>
    <row r="232" spans="28:50" ht="12.75">
      <c r="AB232" s="149"/>
      <c r="AC232" s="149"/>
      <c r="AE232" s="150"/>
      <c r="AG232" s="151"/>
      <c r="AH232" s="150"/>
      <c r="AI232" s="150"/>
      <c r="AJ232" s="149"/>
      <c r="AL232" s="152"/>
      <c r="AM232" s="152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  <c r="AX232" s="158"/>
    </row>
    <row r="233" spans="28:50" ht="12.75">
      <c r="AB233" s="149"/>
      <c r="AC233" s="149"/>
      <c r="AE233" s="150"/>
      <c r="AG233" s="151"/>
      <c r="AH233" s="150"/>
      <c r="AI233" s="150"/>
      <c r="AJ233" s="149"/>
      <c r="AL233" s="152"/>
      <c r="AM233" s="152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  <c r="AX233" s="158"/>
    </row>
    <row r="234" spans="28:50" ht="12.75">
      <c r="AB234" s="149"/>
      <c r="AC234" s="149"/>
      <c r="AE234" s="150"/>
      <c r="AG234" s="151"/>
      <c r="AH234" s="150"/>
      <c r="AI234" s="150"/>
      <c r="AJ234" s="149"/>
      <c r="AL234" s="152"/>
      <c r="AM234" s="152"/>
      <c r="AN234" s="158"/>
      <c r="AO234" s="158"/>
      <c r="AP234" s="158"/>
      <c r="AQ234" s="158"/>
      <c r="AR234" s="158"/>
      <c r="AS234" s="158"/>
      <c r="AT234" s="158"/>
      <c r="AU234" s="158"/>
      <c r="AV234" s="158"/>
      <c r="AW234" s="158"/>
      <c r="AX234" s="158"/>
    </row>
    <row r="235" spans="28:50" ht="12.75">
      <c r="AB235" s="149"/>
      <c r="AC235" s="149"/>
      <c r="AE235" s="150"/>
      <c r="AG235" s="151"/>
      <c r="AH235" s="150"/>
      <c r="AI235" s="150"/>
      <c r="AJ235" s="149"/>
      <c r="AL235" s="152"/>
      <c r="AM235" s="152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  <c r="AX235" s="158"/>
    </row>
    <row r="236" spans="28:50" ht="12.75">
      <c r="AB236" s="149"/>
      <c r="AC236" s="149"/>
      <c r="AE236" s="150"/>
      <c r="AG236" s="151"/>
      <c r="AH236" s="150"/>
      <c r="AI236" s="150"/>
      <c r="AJ236" s="149"/>
      <c r="AL236" s="152"/>
      <c r="AM236" s="152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  <c r="AX236" s="158"/>
    </row>
    <row r="237" spans="28:50" ht="12.75">
      <c r="AB237" s="149"/>
      <c r="AC237" s="149"/>
      <c r="AE237" s="150"/>
      <c r="AG237" s="151"/>
      <c r="AH237" s="150"/>
      <c r="AI237" s="150"/>
      <c r="AJ237" s="149"/>
      <c r="AL237" s="152"/>
      <c r="AM237" s="152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  <c r="AX237" s="158"/>
    </row>
    <row r="238" spans="28:50" ht="12.75">
      <c r="AB238" s="149"/>
      <c r="AC238" s="149"/>
      <c r="AE238" s="150"/>
      <c r="AG238" s="151"/>
      <c r="AH238" s="150"/>
      <c r="AI238" s="150"/>
      <c r="AJ238" s="149"/>
      <c r="AL238" s="152"/>
      <c r="AM238" s="152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  <c r="AX238" s="158"/>
    </row>
    <row r="239" spans="2:50" ht="12.75">
      <c r="B239" s="152"/>
      <c r="C239" s="152"/>
      <c r="D239" s="152"/>
      <c r="E239" s="152"/>
      <c r="F239" s="152"/>
      <c r="G239" s="152"/>
      <c r="H239" s="152"/>
      <c r="I239" s="152"/>
      <c r="AB239" s="149"/>
      <c r="AC239" s="149"/>
      <c r="AE239" s="150"/>
      <c r="AG239" s="151"/>
      <c r="AH239" s="150"/>
      <c r="AI239" s="150"/>
      <c r="AJ239" s="149"/>
      <c r="AL239" s="152"/>
      <c r="AM239" s="152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  <c r="AX239" s="158"/>
    </row>
    <row r="240" spans="2:50" ht="12.75">
      <c r="B240" s="152"/>
      <c r="C240" s="152"/>
      <c r="D240" s="152"/>
      <c r="E240" s="152"/>
      <c r="F240" s="152"/>
      <c r="G240" s="152"/>
      <c r="H240" s="152"/>
      <c r="I240" s="152"/>
      <c r="AB240" s="149"/>
      <c r="AC240" s="149"/>
      <c r="AE240" s="150"/>
      <c r="AG240" s="151"/>
      <c r="AH240" s="150"/>
      <c r="AI240" s="150"/>
      <c r="AJ240" s="149"/>
      <c r="AL240" s="152"/>
      <c r="AM240" s="152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  <c r="AX240" s="158"/>
    </row>
    <row r="241" spans="1:50" ht="12.75">
      <c r="A241" s="152" t="s">
        <v>784</v>
      </c>
      <c r="B241" s="152"/>
      <c r="C241" s="152"/>
      <c r="D241" s="152"/>
      <c r="E241" s="152"/>
      <c r="F241" s="152"/>
      <c r="G241" s="152"/>
      <c r="H241" s="152"/>
      <c r="I241" s="152"/>
      <c r="AB241" s="149"/>
      <c r="AC241" s="149"/>
      <c r="AE241" s="150"/>
      <c r="AG241" s="151"/>
      <c r="AH241" s="150"/>
      <c r="AI241" s="150"/>
      <c r="AJ241" s="149"/>
      <c r="AL241" s="152"/>
      <c r="AM241" s="152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  <c r="AX241" s="158"/>
    </row>
    <row r="242" spans="1:50" ht="12.75">
      <c r="A242" s="152" t="s">
        <v>785</v>
      </c>
      <c r="B242" s="152"/>
      <c r="C242" s="152"/>
      <c r="D242" s="152"/>
      <c r="E242" s="152"/>
      <c r="F242" s="152"/>
      <c r="G242" s="152"/>
      <c r="H242" s="152"/>
      <c r="I242" s="152"/>
      <c r="AB242" s="149"/>
      <c r="AC242" s="149"/>
      <c r="AE242" s="150"/>
      <c r="AG242" s="151"/>
      <c r="AH242" s="150"/>
      <c r="AI242" s="150"/>
      <c r="AJ242" s="149"/>
      <c r="AL242" s="152"/>
      <c r="AM242" s="152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  <c r="AX242" s="158"/>
    </row>
    <row r="243" spans="1:50" ht="12.75">
      <c r="A243" s="152"/>
      <c r="B243" s="152"/>
      <c r="C243" s="152"/>
      <c r="D243" s="152"/>
      <c r="E243" s="152"/>
      <c r="F243" s="152"/>
      <c r="G243" s="152"/>
      <c r="H243" s="152"/>
      <c r="I243" s="152"/>
      <c r="AB243" s="149"/>
      <c r="AC243" s="149"/>
      <c r="AE243" s="150"/>
      <c r="AG243" s="151"/>
      <c r="AH243" s="150"/>
      <c r="AI243" s="150"/>
      <c r="AJ243" s="149"/>
      <c r="AL243" s="152"/>
      <c r="AM243" s="152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  <c r="AX243" s="158"/>
    </row>
    <row r="244" spans="1:50" ht="12.75">
      <c r="A244" s="152"/>
      <c r="AB244" s="149"/>
      <c r="AC244" s="149"/>
      <c r="AE244" s="150"/>
      <c r="AG244" s="151"/>
      <c r="AH244" s="150"/>
      <c r="AI244" s="150"/>
      <c r="AJ244" s="149"/>
      <c r="AL244" s="152"/>
      <c r="AM244" s="152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</row>
    <row r="245" spans="1:50" ht="12.75">
      <c r="A245" s="152"/>
      <c r="AB245" s="149"/>
      <c r="AC245" s="149"/>
      <c r="AE245" s="150"/>
      <c r="AG245" s="151"/>
      <c r="AH245" s="150"/>
      <c r="AI245" s="150"/>
      <c r="AJ245" s="149"/>
      <c r="AL245" s="152"/>
      <c r="AM245" s="152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</row>
    <row r="246" spans="28:39" ht="12.75">
      <c r="AB246" s="149"/>
      <c r="AC246" s="149"/>
      <c r="AE246" s="150"/>
      <c r="AG246" s="151"/>
      <c r="AH246" s="150"/>
      <c r="AI246" s="150"/>
      <c r="AJ246" s="149"/>
      <c r="AL246" s="152"/>
      <c r="AM246" s="152"/>
    </row>
    <row r="247" spans="1:39" ht="12.75">
      <c r="A247" s="187"/>
      <c r="AB247" s="149"/>
      <c r="AC247" s="149"/>
      <c r="AE247" s="150"/>
      <c r="AG247" s="151"/>
      <c r="AH247" s="150"/>
      <c r="AI247" s="150"/>
      <c r="AJ247" s="149"/>
      <c r="AL247" s="152"/>
      <c r="AM247" s="152"/>
    </row>
    <row r="248" spans="1:39" ht="12.75">
      <c r="A248" s="187"/>
      <c r="AB248" s="149"/>
      <c r="AC248" s="149"/>
      <c r="AE248" s="150"/>
      <c r="AG248" s="151"/>
      <c r="AH248" s="150"/>
      <c r="AI248" s="150"/>
      <c r="AJ248" s="149"/>
      <c r="AL248" s="152"/>
      <c r="AM248" s="152"/>
    </row>
    <row r="249" spans="1:39" ht="12.75">
      <c r="A249" s="187"/>
      <c r="AB249" s="149"/>
      <c r="AC249" s="149"/>
      <c r="AE249" s="150"/>
      <c r="AG249" s="151"/>
      <c r="AH249" s="150"/>
      <c r="AI249" s="150"/>
      <c r="AJ249" s="149"/>
      <c r="AL249" s="152"/>
      <c r="AM249" s="152"/>
    </row>
    <row r="250" spans="1:39" ht="12.75">
      <c r="A250" s="187"/>
      <c r="AB250" s="149"/>
      <c r="AC250" s="149"/>
      <c r="AE250" s="150"/>
      <c r="AG250" s="151"/>
      <c r="AH250" s="150"/>
      <c r="AI250" s="150"/>
      <c r="AJ250" s="149"/>
      <c r="AL250" s="152"/>
      <c r="AM250" s="152"/>
    </row>
    <row r="251" spans="1:39" ht="12.75">
      <c r="A251" s="187"/>
      <c r="AB251" s="149"/>
      <c r="AC251" s="149"/>
      <c r="AE251" s="150"/>
      <c r="AG251" s="151"/>
      <c r="AH251" s="150"/>
      <c r="AI251" s="150"/>
      <c r="AJ251" s="149"/>
      <c r="AL251" s="152"/>
      <c r="AM251" s="152"/>
    </row>
    <row r="252" spans="1:39" ht="12.75">
      <c r="A252" s="187"/>
      <c r="AB252" s="149"/>
      <c r="AC252" s="149"/>
      <c r="AE252" s="150"/>
      <c r="AG252" s="151"/>
      <c r="AH252" s="150"/>
      <c r="AI252" s="150"/>
      <c r="AJ252" s="149"/>
      <c r="AL252" s="152"/>
      <c r="AM252" s="152"/>
    </row>
    <row r="253" spans="1:39" ht="12.75">
      <c r="A253" s="187"/>
      <c r="AB253" s="149"/>
      <c r="AC253" s="149"/>
      <c r="AE253" s="150"/>
      <c r="AG253" s="151"/>
      <c r="AH253" s="150"/>
      <c r="AI253" s="150"/>
      <c r="AJ253" s="149"/>
      <c r="AL253" s="152"/>
      <c r="AM253" s="152"/>
    </row>
    <row r="254" spans="1:39" ht="12.75">
      <c r="A254" s="187"/>
      <c r="AB254" s="149"/>
      <c r="AC254" s="149"/>
      <c r="AE254" s="150"/>
      <c r="AG254" s="151"/>
      <c r="AH254" s="150"/>
      <c r="AI254" s="150"/>
      <c r="AJ254" s="149"/>
      <c r="AL254" s="152"/>
      <c r="AM254" s="152"/>
    </row>
    <row r="255" spans="1:39" ht="12.75">
      <c r="A255" s="187"/>
      <c r="AB255" s="149"/>
      <c r="AC255" s="149"/>
      <c r="AE255" s="150"/>
      <c r="AG255" s="151"/>
      <c r="AH255" s="150"/>
      <c r="AI255" s="150"/>
      <c r="AJ255" s="149"/>
      <c r="AL255" s="152"/>
      <c r="AM255" s="152"/>
    </row>
    <row r="256" spans="1:39" ht="12.75">
      <c r="A256" s="187"/>
      <c r="AB256" s="149"/>
      <c r="AC256" s="149"/>
      <c r="AE256" s="150"/>
      <c r="AG256" s="151"/>
      <c r="AH256" s="150"/>
      <c r="AI256" s="150"/>
      <c r="AJ256" s="149"/>
      <c r="AL256" s="152"/>
      <c r="AM256" s="152"/>
    </row>
    <row r="257" spans="1:39" ht="12.75">
      <c r="A257" s="187"/>
      <c r="AB257" s="149"/>
      <c r="AC257" s="149"/>
      <c r="AE257" s="150"/>
      <c r="AG257" s="151"/>
      <c r="AH257" s="150"/>
      <c r="AI257" s="150"/>
      <c r="AJ257" s="149"/>
      <c r="AL257" s="152"/>
      <c r="AM257" s="152"/>
    </row>
    <row r="258" spans="1:39" ht="12.75">
      <c r="A258" s="187"/>
      <c r="AB258" s="149"/>
      <c r="AC258" s="149"/>
      <c r="AE258" s="150"/>
      <c r="AG258" s="151"/>
      <c r="AH258" s="150"/>
      <c r="AI258" s="150"/>
      <c r="AJ258" s="149"/>
      <c r="AL258" s="152"/>
      <c r="AM258" s="152"/>
    </row>
    <row r="259" spans="1:39" ht="12.75">
      <c r="A259" s="187"/>
      <c r="AB259" s="149"/>
      <c r="AC259" s="149"/>
      <c r="AE259" s="150"/>
      <c r="AG259" s="151"/>
      <c r="AH259" s="150"/>
      <c r="AI259" s="150"/>
      <c r="AJ259" s="149"/>
      <c r="AL259" s="152"/>
      <c r="AM259" s="152"/>
    </row>
    <row r="260" spans="1:39" ht="12.75">
      <c r="A260" s="187"/>
      <c r="B260" s="187"/>
      <c r="C260" s="187"/>
      <c r="D260" s="187"/>
      <c r="AB260" s="149"/>
      <c r="AC260" s="149"/>
      <c r="AE260" s="150"/>
      <c r="AG260" s="151"/>
      <c r="AH260" s="150"/>
      <c r="AI260" s="150"/>
      <c r="AJ260" s="149"/>
      <c r="AL260" s="152"/>
      <c r="AM260" s="152"/>
    </row>
    <row r="261" spans="1:39" ht="12.75">
      <c r="A261" s="187"/>
      <c r="B261" s="187"/>
      <c r="C261" s="187"/>
      <c r="D261" s="187"/>
      <c r="AB261" s="149"/>
      <c r="AC261" s="149"/>
      <c r="AE261" s="150"/>
      <c r="AG261" s="151"/>
      <c r="AH261" s="150"/>
      <c r="AI261" s="150"/>
      <c r="AJ261" s="149"/>
      <c r="AL261" s="152"/>
      <c r="AM261" s="152"/>
    </row>
    <row r="262" spans="1:39" ht="12.75">
      <c r="A262" s="187"/>
      <c r="B262" s="187"/>
      <c r="C262" s="187"/>
      <c r="D262" s="187"/>
      <c r="E262" s="152"/>
      <c r="F262" s="152"/>
      <c r="G262" s="152"/>
      <c r="H262" s="152"/>
      <c r="I262" s="152"/>
      <c r="AB262" s="149"/>
      <c r="AC262" s="149"/>
      <c r="AE262" s="150"/>
      <c r="AG262" s="151"/>
      <c r="AH262" s="150"/>
      <c r="AI262" s="150"/>
      <c r="AJ262" s="149"/>
      <c r="AL262" s="152"/>
      <c r="AM262" s="152"/>
    </row>
    <row r="263" spans="1:39" ht="12.75">
      <c r="A263" s="187"/>
      <c r="B263" s="187"/>
      <c r="C263" s="187"/>
      <c r="D263" s="187"/>
      <c r="E263" s="152"/>
      <c r="F263" s="130"/>
      <c r="G263" s="187"/>
      <c r="H263" s="152"/>
      <c r="I263" s="152"/>
      <c r="AB263" s="149"/>
      <c r="AC263" s="149"/>
      <c r="AE263" s="150"/>
      <c r="AG263" s="151"/>
      <c r="AH263" s="150"/>
      <c r="AI263" s="150"/>
      <c r="AJ263" s="149"/>
      <c r="AL263" s="152"/>
      <c r="AM263" s="152"/>
    </row>
    <row r="264" spans="1:39" ht="12.75" hidden="1">
      <c r="A264" s="408"/>
      <c r="F264" s="130"/>
      <c r="H264" s="152"/>
      <c r="I264" s="152"/>
      <c r="AB264" s="149"/>
      <c r="AC264" s="149"/>
      <c r="AE264" s="150"/>
      <c r="AG264" s="151"/>
      <c r="AH264" s="150"/>
      <c r="AI264" s="150"/>
      <c r="AJ264" s="149"/>
      <c r="AL264" s="152"/>
      <c r="AM264" s="152"/>
    </row>
    <row r="265" spans="1:39" ht="12.75" hidden="1">
      <c r="A265" s="409" t="str">
        <f>Texte!A124</f>
        <v>Milchkühe</v>
      </c>
      <c r="B265" s="288"/>
      <c r="F265" s="130"/>
      <c r="H265" s="152"/>
      <c r="I265" s="152"/>
      <c r="AB265" s="149"/>
      <c r="AC265" s="149"/>
      <c r="AE265" s="150"/>
      <c r="AG265" s="151"/>
      <c r="AH265" s="150"/>
      <c r="AI265" s="150"/>
      <c r="AJ265" s="149"/>
      <c r="AL265" s="152"/>
      <c r="AM265" s="152"/>
    </row>
    <row r="266" spans="1:39" ht="12.75" hidden="1">
      <c r="A266" s="409" t="str">
        <f>Texte!A125</f>
        <v>andere Kühe</v>
      </c>
      <c r="B266" s="288"/>
      <c r="F266" s="130"/>
      <c r="H266" s="152"/>
      <c r="I266" s="152"/>
      <c r="AB266" s="149"/>
      <c r="AC266" s="149"/>
      <c r="AE266" s="150"/>
      <c r="AG266" s="151"/>
      <c r="AH266" s="150"/>
      <c r="AI266" s="150"/>
      <c r="AJ266" s="149"/>
      <c r="AL266" s="152"/>
      <c r="AM266" s="152"/>
    </row>
    <row r="267" spans="1:39" ht="12.75" hidden="1">
      <c r="A267" s="409" t="str">
        <f>Texte!A129</f>
        <v>Mutterkühe schwer (LG 700-800 kg)</v>
      </c>
      <c r="B267" s="288"/>
      <c r="F267" s="130"/>
      <c r="H267" s="152"/>
      <c r="I267" s="152"/>
      <c r="AB267" s="149"/>
      <c r="AC267" s="149"/>
      <c r="AE267" s="150"/>
      <c r="AG267" s="151"/>
      <c r="AH267" s="150"/>
      <c r="AI267" s="150"/>
      <c r="AJ267" s="149"/>
      <c r="AL267" s="152"/>
      <c r="AM267" s="152"/>
    </row>
    <row r="268" spans="1:39" ht="12.75" hidden="1">
      <c r="A268" s="409" t="str">
        <f>Texte!A130</f>
        <v>Mutterkühe mittel (LG 600-700 kg)</v>
      </c>
      <c r="B268" s="288"/>
      <c r="F268" s="130"/>
      <c r="H268" s="152"/>
      <c r="I268" s="152"/>
      <c r="AB268" s="149"/>
      <c r="AC268" s="149"/>
      <c r="AE268" s="150"/>
      <c r="AG268" s="151"/>
      <c r="AH268" s="150"/>
      <c r="AI268" s="150"/>
      <c r="AJ268" s="149"/>
      <c r="AL268" s="152"/>
      <c r="AM268" s="152"/>
    </row>
    <row r="269" spans="1:39" ht="12.75" hidden="1">
      <c r="A269" s="409" t="str">
        <f>Texte!A131</f>
        <v>Mutterkühe leicht (LG&lt;600 kg)</v>
      </c>
      <c r="B269" s="288"/>
      <c r="F269" s="130"/>
      <c r="H269" s="152"/>
      <c r="I269" s="152"/>
      <c r="AB269" s="149"/>
      <c r="AC269" s="149"/>
      <c r="AE269" s="150"/>
      <c r="AG269" s="151"/>
      <c r="AH269" s="150"/>
      <c r="AI269" s="150"/>
      <c r="AJ269" s="149"/>
      <c r="AL269" s="152"/>
      <c r="AM269" s="152"/>
    </row>
    <row r="270" spans="1:39" ht="12.75" hidden="1">
      <c r="A270" s="409" t="str">
        <f>Texte!A133</f>
        <v>Jungvieh, 160-365 Tage alt</v>
      </c>
      <c r="B270" s="288"/>
      <c r="F270" s="130"/>
      <c r="H270" s="152"/>
      <c r="I270" s="152"/>
      <c r="AB270" s="149"/>
      <c r="AC270" s="149"/>
      <c r="AE270" s="150"/>
      <c r="AG270" s="151"/>
      <c r="AH270" s="150"/>
      <c r="AI270" s="150"/>
      <c r="AJ270" s="149"/>
      <c r="AL270" s="152"/>
      <c r="AM270" s="152"/>
    </row>
    <row r="271" spans="1:39" ht="12.75" hidden="1">
      <c r="A271" s="409" t="str">
        <f>Texte!A134</f>
        <v>Jungvieh, 1 bis 2-jährig</v>
      </c>
      <c r="B271" s="288"/>
      <c r="F271" s="130"/>
      <c r="H271" s="152"/>
      <c r="I271" s="152"/>
      <c r="AB271" s="149"/>
      <c r="AC271" s="149"/>
      <c r="AE271" s="150"/>
      <c r="AG271" s="151"/>
      <c r="AH271" s="150"/>
      <c r="AI271" s="150"/>
      <c r="AJ271" s="149"/>
      <c r="AL271" s="152"/>
      <c r="AM271" s="152"/>
    </row>
    <row r="272" spans="1:39" ht="12.75" hidden="1">
      <c r="A272" s="409" t="str">
        <f>Texte!A135</f>
        <v>Rinder &gt;2-jährig</v>
      </c>
      <c r="B272" s="288"/>
      <c r="F272" s="130"/>
      <c r="H272" s="152"/>
      <c r="I272" s="152"/>
      <c r="AB272" s="149"/>
      <c r="AC272" s="149"/>
      <c r="AE272" s="150"/>
      <c r="AG272" s="151"/>
      <c r="AH272" s="150"/>
      <c r="AI272" s="150"/>
      <c r="AJ272" s="149"/>
      <c r="AL272" s="152"/>
      <c r="AM272" s="152"/>
    </row>
    <row r="273" spans="1:39" ht="12.75" hidden="1">
      <c r="A273" s="409" t="str">
        <f>Texte!A136</f>
        <v>Mastkälber (50-200 kg)</v>
      </c>
      <c r="B273" s="288"/>
      <c r="F273" s="130"/>
      <c r="H273" s="152"/>
      <c r="I273" s="152"/>
      <c r="AB273" s="149"/>
      <c r="AC273" s="149"/>
      <c r="AE273" s="150"/>
      <c r="AG273" s="151"/>
      <c r="AH273" s="150"/>
      <c r="AI273" s="150"/>
      <c r="AJ273" s="149"/>
      <c r="AL273" s="152"/>
      <c r="AM273" s="152"/>
    </row>
    <row r="274" spans="1:39" ht="12.75" hidden="1">
      <c r="A274" s="409" t="str">
        <f>Texte!A137</f>
        <v>Mutterkuhkälber leicht, ca 350 kg</v>
      </c>
      <c r="B274" s="288"/>
      <c r="F274" s="130"/>
      <c r="H274" s="152"/>
      <c r="I274" s="152"/>
      <c r="AB274" s="149"/>
      <c r="AC274" s="149"/>
      <c r="AE274" s="150"/>
      <c r="AG274" s="151"/>
      <c r="AH274" s="150"/>
      <c r="AI274" s="150"/>
      <c r="AJ274" s="149"/>
      <c r="AL274" s="152"/>
      <c r="AM274" s="152"/>
    </row>
    <row r="275" spans="1:39" ht="12.75" hidden="1">
      <c r="A275" s="409" t="str">
        <f>Texte!A138</f>
        <v>Mutterkuhkälber schwer, ca 400 kg</v>
      </c>
      <c r="B275" s="288"/>
      <c r="F275" s="130"/>
      <c r="H275" s="152"/>
      <c r="I275" s="152"/>
      <c r="AB275" s="149"/>
      <c r="AC275" s="149"/>
      <c r="AE275" s="150"/>
      <c r="AG275" s="151"/>
      <c r="AH275" s="150"/>
      <c r="AI275" s="150"/>
      <c r="AJ275" s="149"/>
      <c r="AL275" s="152"/>
      <c r="AM275" s="152"/>
    </row>
    <row r="276" spans="1:39" ht="12.75" hidden="1">
      <c r="A276" s="409"/>
      <c r="B276" s="288"/>
      <c r="F276" s="130"/>
      <c r="H276" s="152"/>
      <c r="I276" s="152"/>
      <c r="AB276" s="149"/>
      <c r="AC276" s="149"/>
      <c r="AE276" s="150"/>
      <c r="AG276" s="151"/>
      <c r="AH276" s="150"/>
      <c r="AI276" s="150"/>
      <c r="AJ276" s="149"/>
      <c r="AL276" s="152"/>
      <c r="AM276" s="152"/>
    </row>
    <row r="277" spans="1:39" ht="12.75" hidden="1">
      <c r="A277" s="409"/>
      <c r="B277" s="288"/>
      <c r="F277" s="130"/>
      <c r="H277" s="152"/>
      <c r="I277" s="152"/>
      <c r="AB277" s="149"/>
      <c r="AC277" s="149"/>
      <c r="AE277" s="150"/>
      <c r="AG277" s="151"/>
      <c r="AH277" s="150"/>
      <c r="AI277" s="150"/>
      <c r="AJ277" s="149"/>
      <c r="AL277" s="152"/>
      <c r="AM277" s="152"/>
    </row>
    <row r="278" spans="1:39" ht="12.75" hidden="1">
      <c r="A278" s="409" t="str">
        <f>Texte!A139</f>
        <v>Rindviehmast intensiv, 65-520 kg</v>
      </c>
      <c r="B278" s="288"/>
      <c r="F278" s="130"/>
      <c r="H278" s="152"/>
      <c r="I278" s="152"/>
      <c r="AB278" s="149"/>
      <c r="AC278" s="149"/>
      <c r="AE278" s="150"/>
      <c r="AG278" s="151"/>
      <c r="AH278" s="150"/>
      <c r="AI278" s="150"/>
      <c r="AJ278" s="149"/>
      <c r="AL278" s="152"/>
      <c r="AM278" s="152"/>
    </row>
    <row r="279" spans="1:39" ht="12.75" hidden="1">
      <c r="A279" s="409" t="str">
        <f>Texte!A140</f>
        <v>Rindviehmast Tränker &lt; 4 Mte.</v>
      </c>
      <c r="B279" s="288"/>
      <c r="F279" s="130"/>
      <c r="H279" s="152"/>
      <c r="I279" s="152"/>
      <c r="AB279" s="149"/>
      <c r="AC279" s="149"/>
      <c r="AE279" s="150"/>
      <c r="AG279" s="151"/>
      <c r="AH279" s="150"/>
      <c r="AI279" s="150"/>
      <c r="AJ279" s="149"/>
      <c r="AL279" s="152"/>
      <c r="AM279" s="152"/>
    </row>
    <row r="280" spans="1:39" ht="12.75" hidden="1">
      <c r="A280" s="409" t="str">
        <f>Texte!A141</f>
        <v>Rindviehmast intensiv &gt; 4 Monate</v>
      </c>
      <c r="B280" s="288"/>
      <c r="F280" s="130"/>
      <c r="H280" s="152"/>
      <c r="I280" s="152"/>
      <c r="AB280" s="149"/>
      <c r="AC280" s="149"/>
      <c r="AE280" s="150"/>
      <c r="AG280" s="151"/>
      <c r="AH280" s="150"/>
      <c r="AI280" s="150"/>
      <c r="AJ280" s="149"/>
      <c r="AL280" s="152"/>
      <c r="AM280" s="152"/>
    </row>
    <row r="281" spans="1:39" ht="12.75" hidden="1">
      <c r="A281" s="409" t="str">
        <f>Texte!A142</f>
        <v>Rindviehmast Weidemast &gt; 4 Monate</v>
      </c>
      <c r="B281" s="288"/>
      <c r="F281" s="130"/>
      <c r="H281" s="152"/>
      <c r="I281" s="152"/>
      <c r="AB281" s="149"/>
      <c r="AC281" s="149"/>
      <c r="AE281" s="150"/>
      <c r="AG281" s="151"/>
      <c r="AH281" s="150"/>
      <c r="AI281" s="150"/>
      <c r="AJ281" s="149"/>
      <c r="AL281" s="152"/>
      <c r="AM281" s="152"/>
    </row>
    <row r="282" spans="1:9" ht="12.75" hidden="1">
      <c r="A282" s="409" t="str">
        <f>Texte!A143</f>
        <v>Rindviehmast, intensive Ausmast</v>
      </c>
      <c r="B282" s="288"/>
      <c r="F282" s="130"/>
      <c r="I282" s="152"/>
    </row>
    <row r="283" spans="1:9" ht="12.75" hidden="1">
      <c r="A283" s="409" t="str">
        <f>Texte!A144</f>
        <v>Zuchtstier</v>
      </c>
      <c r="B283" s="288"/>
      <c r="F283" s="130"/>
      <c r="I283" s="152"/>
    </row>
    <row r="284" spans="1:9" ht="12.75" hidden="1">
      <c r="A284" s="409"/>
      <c r="B284" s="288"/>
      <c r="F284" s="130"/>
      <c r="I284" s="152"/>
    </row>
    <row r="285" spans="1:9" ht="12.75" hidden="1">
      <c r="A285" s="288"/>
      <c r="B285" s="288"/>
      <c r="F285" s="130"/>
      <c r="H285" s="152"/>
      <c r="I285" s="152"/>
    </row>
    <row r="286" spans="1:9" ht="12.75" hidden="1">
      <c r="A286" s="409" t="str">
        <f>Texte!A147</f>
        <v>Pferde &lt; 180 d, &gt; 148 cm*</v>
      </c>
      <c r="B286" s="288"/>
      <c r="F286" s="130"/>
      <c r="H286" s="152"/>
      <c r="I286" s="152"/>
    </row>
    <row r="287" spans="1:9" ht="12.75" hidden="1">
      <c r="A287" s="409" t="str">
        <f>Texte!A148</f>
        <v>Pferde &gt; 180 d, &gt; 148 cm*</v>
      </c>
      <c r="B287" s="288"/>
      <c r="F287" s="130"/>
      <c r="H287" s="152"/>
      <c r="I287" s="152"/>
    </row>
    <row r="288" spans="1:9" ht="12.75" hidden="1">
      <c r="A288" s="409" t="str">
        <f>Texte!A149</f>
        <v>Maultiere, Maulesel &lt; 180 d, unabh. Widerristhöhe</v>
      </c>
      <c r="B288" s="288"/>
      <c r="F288" s="130"/>
      <c r="H288" s="152"/>
      <c r="I288" s="152"/>
    </row>
    <row r="289" spans="1:9" ht="12.75" hidden="1">
      <c r="A289" s="409" t="str">
        <f>Texte!A150</f>
        <v>Maultiere, Maulesel &gt; 180 d, unabh. Widerristhöhe</v>
      </c>
      <c r="B289" s="288"/>
      <c r="F289" s="130"/>
      <c r="H289" s="152"/>
      <c r="I289" s="152"/>
    </row>
    <row r="290" spans="1:9" ht="12.75" hidden="1">
      <c r="A290" s="409" t="str">
        <f>Texte!A151</f>
        <v>Ponys**, Kleinpferde und Esel, jeden Alters, &lt; 148 cm</v>
      </c>
      <c r="B290" s="288"/>
      <c r="F290" s="130"/>
      <c r="H290" s="152"/>
      <c r="I290" s="152"/>
    </row>
    <row r="291" spans="1:9" ht="12.75" hidden="1">
      <c r="A291" s="409" t="str">
        <f>Texte!A152</f>
        <v>Ziegenplatz (inkl. Juntiere und Anteil Bock)</v>
      </c>
      <c r="B291" s="288"/>
      <c r="F291" s="130"/>
      <c r="H291" s="152"/>
      <c r="I291" s="152"/>
    </row>
    <row r="292" spans="1:9" ht="12.75" hidden="1">
      <c r="A292" s="409" t="str">
        <f>Texte!A153</f>
        <v>Schafplatz (inkl. Jungtiere und Anteil Bock)</v>
      </c>
      <c r="B292" s="288"/>
      <c r="F292" s="130"/>
      <c r="H292" s="152"/>
      <c r="I292" s="152"/>
    </row>
    <row r="293" spans="1:9" ht="12.75" hidden="1">
      <c r="A293" s="409" t="str">
        <f>Texte!A154</f>
        <v>Milchschafe (inkl.Jungtiere)</v>
      </c>
      <c r="B293" s="288"/>
      <c r="F293" s="130"/>
      <c r="H293" s="152"/>
      <c r="I293" s="152"/>
    </row>
    <row r="294" spans="1:9" ht="12.75" hidden="1">
      <c r="A294" s="409" t="str">
        <f>Texte!A155</f>
        <v>Weidemastlamm, -gitzi</v>
      </c>
      <c r="B294" s="288"/>
      <c r="F294" s="130"/>
      <c r="H294" s="152"/>
      <c r="I294" s="152"/>
    </row>
    <row r="295" spans="1:9" ht="12.75" hidden="1">
      <c r="A295" s="409" t="str">
        <f>Texte!A156</f>
        <v>Damhirsche inkl. Jungtiere, 1 Einheit=2 Tiere</v>
      </c>
      <c r="B295" s="288"/>
      <c r="F295" s="130"/>
      <c r="H295" s="152"/>
      <c r="I295" s="152"/>
    </row>
    <row r="296" spans="1:9" ht="12.75" hidden="1">
      <c r="A296" s="409" t="str">
        <f>Texte!A157</f>
        <v>Rothirsche inkl. Jungtiere, 1 Einheit=2 Tiere</v>
      </c>
      <c r="B296" s="288"/>
      <c r="F296" s="130"/>
      <c r="H296" s="152"/>
      <c r="I296" s="152"/>
    </row>
    <row r="297" spans="1:9" ht="12.75" hidden="1">
      <c r="A297" s="409" t="str">
        <f>Texte!A158</f>
        <v>Wapiti inkl. Jungtiere, 1 Einheit=2 Tiere</v>
      </c>
      <c r="B297" s="288"/>
      <c r="F297" s="130"/>
      <c r="H297" s="152"/>
      <c r="I297" s="152"/>
    </row>
    <row r="298" spans="1:9" ht="12.75" hidden="1">
      <c r="A298" s="409" t="str">
        <f>Texte!A159</f>
        <v>Bisons über 900 d</v>
      </c>
      <c r="B298" s="288"/>
      <c r="F298" s="130"/>
      <c r="H298" s="152"/>
      <c r="I298" s="152"/>
    </row>
    <row r="299" spans="1:9" ht="12.75" hidden="1">
      <c r="A299" s="409" t="str">
        <f>Texte!A160</f>
        <v>Bisons bis 900 d</v>
      </c>
      <c r="B299" s="288"/>
      <c r="F299" s="130"/>
      <c r="H299" s="152"/>
      <c r="I299" s="152"/>
    </row>
    <row r="300" spans="1:9" ht="12.75" hidden="1">
      <c r="A300" s="409" t="str">
        <f>Texte!A161</f>
        <v>Lamas über 2-jährig</v>
      </c>
      <c r="B300" s="288"/>
      <c r="F300" s="130"/>
      <c r="H300" s="152"/>
      <c r="I300" s="152"/>
    </row>
    <row r="301" spans="1:9" ht="12.75" hidden="1">
      <c r="A301" s="409" t="str">
        <f>Texte!A162</f>
        <v>Lamas unter 2-jährig</v>
      </c>
      <c r="B301" s="288"/>
      <c r="F301" s="130"/>
      <c r="H301" s="152"/>
      <c r="I301" s="152"/>
    </row>
    <row r="302" spans="1:9" ht="12.75" hidden="1">
      <c r="A302" s="409" t="str">
        <f>Texte!A163</f>
        <v>Alpakas über 2-jährig</v>
      </c>
      <c r="B302" s="288"/>
      <c r="F302" s="130"/>
      <c r="H302" s="152"/>
      <c r="I302" s="152"/>
    </row>
    <row r="303" spans="1:9" ht="12.75" hidden="1">
      <c r="A303" s="409" t="str">
        <f>Texte!A164</f>
        <v>Alpakas unter 2-jährig</v>
      </c>
      <c r="B303" s="288"/>
      <c r="F303" s="130"/>
      <c r="H303" s="152"/>
      <c r="I303" s="152"/>
    </row>
    <row r="304" spans="1:9" ht="12.75" hidden="1">
      <c r="A304" s="409"/>
      <c r="B304" s="288"/>
      <c r="F304" s="130"/>
      <c r="H304" s="152"/>
      <c r="I304" s="152"/>
    </row>
    <row r="305" spans="1:9" ht="12.75" hidden="1">
      <c r="A305" s="409"/>
      <c r="B305" s="288"/>
      <c r="F305" s="130"/>
      <c r="H305" s="152"/>
      <c r="I305" s="152"/>
    </row>
    <row r="306" spans="1:9" ht="12.75" hidden="1">
      <c r="A306" s="409"/>
      <c r="B306" s="288"/>
      <c r="F306" s="130"/>
      <c r="H306" s="152"/>
      <c r="I306" s="152"/>
    </row>
    <row r="307" spans="1:9" ht="12.75" hidden="1">
      <c r="A307" s="409"/>
      <c r="B307" s="288"/>
      <c r="F307" s="130"/>
      <c r="H307" s="152"/>
      <c r="I307" s="152"/>
    </row>
    <row r="308" spans="1:9" ht="12.75" hidden="1">
      <c r="A308" s="409"/>
      <c r="B308" s="288"/>
      <c r="F308" s="130"/>
      <c r="H308" s="152"/>
      <c r="I308" s="152"/>
    </row>
    <row r="309" spans="1:9" ht="12.75" hidden="1">
      <c r="A309" s="409"/>
      <c r="B309" s="288"/>
      <c r="F309" s="130"/>
      <c r="H309" s="152"/>
      <c r="I309" s="152"/>
    </row>
    <row r="310" spans="1:9" ht="12.75" hidden="1">
      <c r="A310" s="409"/>
      <c r="B310" s="288"/>
      <c r="F310" s="130"/>
      <c r="H310" s="152"/>
      <c r="I310" s="152"/>
    </row>
    <row r="311" spans="1:9" ht="12.75" hidden="1">
      <c r="A311" s="409"/>
      <c r="B311" s="288"/>
      <c r="F311" s="130"/>
      <c r="H311" s="152"/>
      <c r="I311" s="152"/>
    </row>
    <row r="312" spans="1:9" ht="12.75" hidden="1">
      <c r="A312" s="409" t="str">
        <f>Texte!A175</f>
        <v>Galtsauenplatz, 2.94 Umtriebe</v>
      </c>
      <c r="B312" s="288"/>
      <c r="F312" s="130"/>
      <c r="H312" s="152"/>
      <c r="I312" s="152"/>
    </row>
    <row r="313" spans="1:9" ht="12.75" hidden="1">
      <c r="A313" s="409" t="str">
        <f>Texte!A176</f>
        <v>Galtsauen, pro Umtrieb</v>
      </c>
      <c r="B313" s="288"/>
      <c r="F313" s="130"/>
      <c r="H313" s="152"/>
      <c r="I313" s="152"/>
    </row>
    <row r="314" spans="1:9" ht="12.75" hidden="1">
      <c r="A314" s="409" t="str">
        <f>Texte!A177</f>
        <v>Zuchtschweine, säugend, 9.86 Umtriebe</v>
      </c>
      <c r="B314" s="288"/>
      <c r="F314" s="130"/>
      <c r="H314" s="152"/>
      <c r="I314" s="152"/>
    </row>
    <row r="315" spans="1:9" ht="12.75" hidden="1">
      <c r="A315" s="409" t="str">
        <f>Texte!A178</f>
        <v>Zuchtschweine, säugend, pro Umtrieb</v>
      </c>
      <c r="B315" s="288"/>
      <c r="F315" s="130"/>
      <c r="H315" s="152"/>
      <c r="I315" s="152"/>
    </row>
    <row r="316" spans="1:9" ht="12.75" hidden="1">
      <c r="A316" s="409" t="str">
        <f>Texte!A179</f>
        <v>Zuchteber</v>
      </c>
      <c r="B316" s="288"/>
      <c r="F316" s="130"/>
      <c r="H316" s="152"/>
      <c r="I316" s="152"/>
    </row>
    <row r="317" spans="1:9" ht="12.75" hidden="1">
      <c r="A317" s="409"/>
      <c r="B317" s="288"/>
      <c r="F317" s="130"/>
      <c r="H317" s="152"/>
      <c r="I317" s="152"/>
    </row>
    <row r="318" spans="1:9" ht="12.75" hidden="1">
      <c r="A318" s="130"/>
      <c r="F318" s="130"/>
      <c r="H318" s="152"/>
      <c r="I318" s="152"/>
    </row>
    <row r="319" spans="1:9" ht="12.75" hidden="1">
      <c r="A319" s="130"/>
      <c r="F319" s="130"/>
      <c r="H319" s="152"/>
      <c r="I319" s="152"/>
    </row>
    <row r="320" spans="6:9" ht="12.75" hidden="1">
      <c r="F320" s="130"/>
      <c r="H320" s="152"/>
      <c r="I320" s="152"/>
    </row>
    <row r="321" spans="1:9" ht="12.75" hidden="1">
      <c r="A321" s="130"/>
      <c r="F321" s="130"/>
      <c r="H321" s="152"/>
      <c r="I321" s="152"/>
    </row>
    <row r="322" spans="1:9" ht="12.75">
      <c r="A322" s="130"/>
      <c r="F322" s="130"/>
      <c r="H322" s="152"/>
      <c r="I322" s="152"/>
    </row>
    <row r="323" spans="1:9" ht="12.75">
      <c r="A323" s="130"/>
      <c r="F323" s="130"/>
      <c r="H323" s="152"/>
      <c r="I323" s="152"/>
    </row>
    <row r="324" spans="1:9" ht="12.75">
      <c r="A324" s="130"/>
      <c r="G324" s="152"/>
      <c r="H324" s="152"/>
      <c r="I324" s="152"/>
    </row>
    <row r="325" spans="1:9" ht="12.75">
      <c r="A325" s="130"/>
      <c r="G325" s="152"/>
      <c r="H325" s="152"/>
      <c r="I325" s="152"/>
    </row>
    <row r="326" spans="1:9" ht="12.75">
      <c r="A326" s="130"/>
      <c r="G326" s="152"/>
      <c r="H326" s="152"/>
      <c r="I326" s="152"/>
    </row>
    <row r="327" spans="1:9" ht="12.75">
      <c r="A327" s="130"/>
      <c r="G327" s="152"/>
      <c r="H327" s="152"/>
      <c r="I327" s="152"/>
    </row>
    <row r="328" spans="1:9" ht="12.75">
      <c r="A328" s="130"/>
      <c r="G328" s="152"/>
      <c r="H328" s="152"/>
      <c r="I328" s="152"/>
    </row>
    <row r="329" spans="1:9" ht="12.75">
      <c r="A329" s="130"/>
      <c r="G329" s="152"/>
      <c r="H329" s="152"/>
      <c r="I329" s="152"/>
    </row>
    <row r="330" spans="1:9" ht="12.75">
      <c r="A330" s="130"/>
      <c r="G330" s="152"/>
      <c r="H330" s="152"/>
      <c r="I330" s="152"/>
    </row>
    <row r="331" spans="1:9" ht="12.75">
      <c r="A331" s="130"/>
      <c r="G331" s="152"/>
      <c r="H331" s="152"/>
      <c r="I331" s="152"/>
    </row>
    <row r="332" spans="1:9" ht="12.75">
      <c r="A332" s="130"/>
      <c r="G332" s="152"/>
      <c r="H332" s="152"/>
      <c r="I332" s="152"/>
    </row>
    <row r="333" spans="1:9" ht="12.75">
      <c r="A333" s="130"/>
      <c r="G333" s="152"/>
      <c r="H333" s="152"/>
      <c r="I333" s="152"/>
    </row>
    <row r="334" spans="1:9" ht="12.75">
      <c r="A334" s="130"/>
      <c r="G334" s="152"/>
      <c r="H334" s="152"/>
      <c r="I334" s="152"/>
    </row>
    <row r="335" spans="1:9" ht="12.75">
      <c r="A335" s="130"/>
      <c r="G335" s="152"/>
      <c r="H335" s="152"/>
      <c r="I335" s="152"/>
    </row>
    <row r="336" spans="1:9" ht="12.75">
      <c r="A336" s="130"/>
      <c r="G336" s="152"/>
      <c r="H336" s="152"/>
      <c r="I336" s="152"/>
    </row>
    <row r="337" spans="1:9" ht="12.75">
      <c r="A337" s="130"/>
      <c r="G337" s="152"/>
      <c r="H337" s="152"/>
      <c r="I337" s="152"/>
    </row>
    <row r="338" spans="1:9" ht="12.75">
      <c r="A338" s="130"/>
      <c r="G338" s="152"/>
      <c r="H338" s="152"/>
      <c r="I338" s="152"/>
    </row>
    <row r="339" spans="1:9" ht="12.75">
      <c r="A339" s="130"/>
      <c r="G339" s="152"/>
      <c r="H339" s="152"/>
      <c r="I339" s="152"/>
    </row>
    <row r="340" spans="1:9" ht="12.75">
      <c r="A340" s="130"/>
      <c r="G340" s="152"/>
      <c r="H340" s="152"/>
      <c r="I340" s="152"/>
    </row>
    <row r="341" spans="1:9" ht="12.75">
      <c r="A341" s="130"/>
      <c r="G341" s="152"/>
      <c r="H341" s="152"/>
      <c r="I341" s="152"/>
    </row>
    <row r="342" spans="1:9" ht="12.75">
      <c r="A342" s="130"/>
      <c r="G342" s="152"/>
      <c r="H342" s="152"/>
      <c r="I342" s="152"/>
    </row>
    <row r="343" spans="1:9" ht="12.75">
      <c r="A343" s="130"/>
      <c r="G343" s="152"/>
      <c r="H343" s="152"/>
      <c r="I343" s="152"/>
    </row>
    <row r="344" spans="1:9" ht="12.75">
      <c r="A344" s="130"/>
      <c r="G344" s="152"/>
      <c r="H344" s="152"/>
      <c r="I344" s="152"/>
    </row>
    <row r="345" spans="1:9" ht="12.75">
      <c r="A345" s="130"/>
      <c r="G345" s="152"/>
      <c r="H345" s="152"/>
      <c r="I345" s="152"/>
    </row>
    <row r="346" spans="1:9" ht="12.75">
      <c r="A346" s="130"/>
      <c r="G346" s="152"/>
      <c r="H346" s="152"/>
      <c r="I346" s="152"/>
    </row>
    <row r="347" spans="1:9" ht="12.75">
      <c r="A347" s="130"/>
      <c r="G347" s="152"/>
      <c r="H347" s="152"/>
      <c r="I347" s="152"/>
    </row>
    <row r="348" spans="1:9" ht="12.75">
      <c r="A348" s="130"/>
      <c r="G348" s="152"/>
      <c r="H348" s="152"/>
      <c r="I348" s="152"/>
    </row>
    <row r="349" spans="1:9" ht="12.75">
      <c r="A349" s="130"/>
      <c r="G349" s="152"/>
      <c r="H349" s="152"/>
      <c r="I349" s="152"/>
    </row>
    <row r="350" spans="1:9" ht="12.75">
      <c r="A350" s="130"/>
      <c r="B350" s="152"/>
      <c r="C350" s="152"/>
      <c r="D350" s="152"/>
      <c r="E350" s="152"/>
      <c r="F350" s="152"/>
      <c r="G350" s="152"/>
      <c r="H350" s="152"/>
      <c r="I350" s="152"/>
    </row>
    <row r="351" spans="1:9" ht="12.75">
      <c r="A351" s="130"/>
      <c r="B351" s="152"/>
      <c r="C351" s="152"/>
      <c r="D351" s="152"/>
      <c r="E351" s="152"/>
      <c r="F351" s="152"/>
      <c r="G351" s="152"/>
      <c r="H351" s="152"/>
      <c r="I351" s="152"/>
    </row>
    <row r="352" spans="1:9" ht="12.75">
      <c r="A352" s="130"/>
      <c r="B352" s="152"/>
      <c r="C352" s="152"/>
      <c r="D352" s="152"/>
      <c r="E352" s="152"/>
      <c r="F352" s="152"/>
      <c r="G352" s="152"/>
      <c r="H352" s="152"/>
      <c r="I352" s="152"/>
    </row>
    <row r="353" spans="1:9" ht="12.75">
      <c r="A353" s="130"/>
      <c r="B353" s="152"/>
      <c r="C353" s="152"/>
      <c r="D353" s="152"/>
      <c r="E353" s="152"/>
      <c r="F353" s="152"/>
      <c r="G353" s="152"/>
      <c r="H353" s="152"/>
      <c r="I353" s="152"/>
    </row>
    <row r="354" spans="1:9" ht="12.75">
      <c r="A354" s="130"/>
      <c r="B354" s="152"/>
      <c r="C354" s="152"/>
      <c r="D354" s="152"/>
      <c r="E354" s="152"/>
      <c r="F354" s="152"/>
      <c r="G354" s="152"/>
      <c r="H354" s="152"/>
      <c r="I354" s="152"/>
    </row>
    <row r="355" spans="1:9" ht="12.75">
      <c r="A355" s="130"/>
      <c r="B355" s="152"/>
      <c r="C355" s="152"/>
      <c r="D355" s="152"/>
      <c r="E355" s="152"/>
      <c r="F355" s="152"/>
      <c r="G355" s="152"/>
      <c r="H355" s="152"/>
      <c r="I355" s="152"/>
    </row>
    <row r="356" spans="1:9" ht="12.75">
      <c r="A356" s="130"/>
      <c r="B356" s="152"/>
      <c r="C356" s="152"/>
      <c r="D356" s="152"/>
      <c r="E356" s="152"/>
      <c r="F356" s="152"/>
      <c r="G356" s="152"/>
      <c r="H356" s="152"/>
      <c r="I356" s="152"/>
    </row>
    <row r="357" spans="1:9" ht="12.75">
      <c r="A357" s="130"/>
      <c r="B357" s="152"/>
      <c r="C357" s="152"/>
      <c r="D357" s="152"/>
      <c r="E357" s="152"/>
      <c r="F357" s="152"/>
      <c r="G357" s="152"/>
      <c r="H357" s="152"/>
      <c r="I357" s="152"/>
    </row>
    <row r="358" spans="1:9" ht="12.75">
      <c r="A358" s="130"/>
      <c r="B358" s="152"/>
      <c r="C358" s="152"/>
      <c r="D358" s="152"/>
      <c r="E358" s="152"/>
      <c r="F358" s="152"/>
      <c r="G358" s="152"/>
      <c r="H358" s="152"/>
      <c r="I358" s="152"/>
    </row>
    <row r="359" spans="1:9" ht="12.75">
      <c r="A359" s="130"/>
      <c r="B359" s="152"/>
      <c r="C359" s="152"/>
      <c r="D359" s="152"/>
      <c r="E359" s="152"/>
      <c r="F359" s="152"/>
      <c r="G359" s="152"/>
      <c r="H359" s="152"/>
      <c r="I359" s="152"/>
    </row>
    <row r="360" spans="1:9" ht="12.75">
      <c r="A360" s="130"/>
      <c r="B360" s="152"/>
      <c r="C360" s="152"/>
      <c r="D360" s="152"/>
      <c r="E360" s="152"/>
      <c r="F360" s="152"/>
      <c r="G360" s="152"/>
      <c r="H360" s="152"/>
      <c r="I360" s="152"/>
    </row>
    <row r="361" spans="1:9" ht="12.75">
      <c r="A361" s="130"/>
      <c r="B361" s="152"/>
      <c r="C361" s="152"/>
      <c r="D361" s="152"/>
      <c r="E361" s="152"/>
      <c r="F361" s="152"/>
      <c r="G361" s="152"/>
      <c r="H361" s="152"/>
      <c r="I361" s="152"/>
    </row>
    <row r="362" spans="1:9" ht="12.75">
      <c r="A362" s="130"/>
      <c r="B362" s="152"/>
      <c r="C362" s="152"/>
      <c r="D362" s="152"/>
      <c r="E362" s="152"/>
      <c r="F362" s="152"/>
      <c r="G362" s="152"/>
      <c r="H362" s="152"/>
      <c r="I362" s="152"/>
    </row>
    <row r="363" spans="1:9" ht="12.75">
      <c r="A363" s="130"/>
      <c r="B363" s="152"/>
      <c r="C363" s="152"/>
      <c r="D363" s="152"/>
      <c r="E363" s="152"/>
      <c r="F363" s="152"/>
      <c r="G363" s="152"/>
      <c r="H363" s="152"/>
      <c r="I363" s="152"/>
    </row>
    <row r="364" spans="1:9" ht="12.75">
      <c r="A364" s="130"/>
      <c r="B364" s="152"/>
      <c r="C364" s="152"/>
      <c r="D364" s="152"/>
      <c r="E364" s="152"/>
      <c r="F364" s="152"/>
      <c r="G364" s="152"/>
      <c r="H364" s="152"/>
      <c r="I364" s="152"/>
    </row>
    <row r="365" spans="1:9" ht="12.75">
      <c r="A365" s="130"/>
      <c r="B365" s="152"/>
      <c r="C365" s="152"/>
      <c r="D365" s="152"/>
      <c r="E365" s="152"/>
      <c r="F365" s="152"/>
      <c r="G365" s="152"/>
      <c r="H365" s="152"/>
      <c r="I365" s="152"/>
    </row>
    <row r="366" spans="1:9" ht="12.75">
      <c r="A366" s="130"/>
      <c r="B366" s="152"/>
      <c r="C366" s="152"/>
      <c r="D366" s="152"/>
      <c r="E366" s="152"/>
      <c r="F366" s="152"/>
      <c r="G366" s="152"/>
      <c r="H366" s="152"/>
      <c r="I366" s="152"/>
    </row>
    <row r="367" spans="1:9" ht="12.75">
      <c r="A367" s="130"/>
      <c r="B367" s="152"/>
      <c r="C367" s="152"/>
      <c r="D367" s="152"/>
      <c r="E367" s="152"/>
      <c r="F367" s="152"/>
      <c r="G367" s="152"/>
      <c r="H367" s="152"/>
      <c r="I367" s="152"/>
    </row>
    <row r="368" spans="1:9" ht="12.75">
      <c r="A368" s="130"/>
      <c r="B368" s="152"/>
      <c r="C368" s="152"/>
      <c r="D368" s="152"/>
      <c r="E368" s="152"/>
      <c r="F368" s="152"/>
      <c r="G368" s="152"/>
      <c r="H368" s="152"/>
      <c r="I368" s="152"/>
    </row>
    <row r="369" spans="1:9" ht="12.75">
      <c r="A369" s="130"/>
      <c r="B369" s="152"/>
      <c r="C369" s="152"/>
      <c r="D369" s="152"/>
      <c r="E369" s="152"/>
      <c r="F369" s="152"/>
      <c r="G369" s="152"/>
      <c r="H369" s="152"/>
      <c r="I369" s="152"/>
    </row>
    <row r="370" spans="1:9" ht="12.75">
      <c r="A370" s="130"/>
      <c r="B370" s="152"/>
      <c r="C370" s="152"/>
      <c r="D370" s="152"/>
      <c r="E370" s="152"/>
      <c r="F370" s="152"/>
      <c r="G370" s="152"/>
      <c r="H370" s="152"/>
      <c r="I370" s="152"/>
    </row>
    <row r="371" spans="1:9" ht="12.75">
      <c r="A371" s="130"/>
      <c r="B371" s="152"/>
      <c r="C371" s="152"/>
      <c r="D371" s="152"/>
      <c r="E371" s="152"/>
      <c r="F371" s="152"/>
      <c r="G371" s="152"/>
      <c r="H371" s="152"/>
      <c r="I371" s="152"/>
    </row>
    <row r="372" spans="1:9" ht="12.75" customHeight="1">
      <c r="A372" s="429"/>
      <c r="D372" s="152"/>
      <c r="E372" s="152"/>
      <c r="F372" s="152"/>
      <c r="G372" s="152"/>
      <c r="H372" s="152"/>
      <c r="I372" s="152"/>
    </row>
    <row r="373" spans="4:9" ht="12.75">
      <c r="D373" s="152"/>
      <c r="E373" s="152"/>
      <c r="F373" s="152"/>
      <c r="G373" s="152"/>
      <c r="H373" s="152"/>
      <c r="I373" s="152"/>
    </row>
    <row r="374" spans="1:9" ht="12.75">
      <c r="A374" s="152"/>
      <c r="B374" s="152"/>
      <c r="C374" s="152"/>
      <c r="D374" s="152"/>
      <c r="E374" s="152"/>
      <c r="F374" s="152"/>
      <c r="G374" s="152"/>
      <c r="H374" s="152"/>
      <c r="I374" s="152"/>
    </row>
    <row r="375" spans="1:9" ht="12.75">
      <c r="A375" s="152"/>
      <c r="B375" s="152"/>
      <c r="C375" s="152"/>
      <c r="D375" s="152"/>
      <c r="E375" s="152"/>
      <c r="F375" s="152"/>
      <c r="G375" s="152"/>
      <c r="H375" s="152"/>
      <c r="I375" s="152"/>
    </row>
    <row r="376" spans="1:9" ht="12.75">
      <c r="A376" s="152"/>
      <c r="B376" s="152"/>
      <c r="C376" s="152"/>
      <c r="D376" s="152"/>
      <c r="E376" s="152"/>
      <c r="F376" s="152"/>
      <c r="G376" s="152"/>
      <c r="H376" s="152"/>
      <c r="I376" s="152"/>
    </row>
    <row r="377" spans="1:9" ht="12.75">
      <c r="A377" s="152"/>
      <c r="B377" s="152"/>
      <c r="C377" s="152"/>
      <c r="D377" s="152"/>
      <c r="E377" s="152"/>
      <c r="F377" s="152"/>
      <c r="G377" s="152"/>
      <c r="H377" s="152"/>
      <c r="I377" s="152"/>
    </row>
    <row r="378" spans="1:9" ht="12.75">
      <c r="A378" s="152"/>
      <c r="B378" s="152"/>
      <c r="C378" s="152"/>
      <c r="D378" s="152"/>
      <c r="E378" s="152"/>
      <c r="F378" s="152"/>
      <c r="G378" s="152"/>
      <c r="H378" s="152"/>
      <c r="I378" s="152"/>
    </row>
    <row r="379" spans="1:9" ht="12.75">
      <c r="A379" s="152"/>
      <c r="B379" s="152"/>
      <c r="C379" s="152"/>
      <c r="D379" s="152"/>
      <c r="E379" s="152"/>
      <c r="F379" s="152"/>
      <c r="G379" s="152"/>
      <c r="H379" s="152"/>
      <c r="I379" s="152"/>
    </row>
    <row r="380" spans="1:9" ht="12.75">
      <c r="A380" s="152"/>
      <c r="B380" s="152"/>
      <c r="C380" s="152"/>
      <c r="D380" s="152"/>
      <c r="E380" s="152"/>
      <c r="F380" s="152"/>
      <c r="G380" s="152"/>
      <c r="H380" s="152"/>
      <c r="I380" s="152"/>
    </row>
    <row r="381" spans="1:9" ht="12.75">
      <c r="A381" s="152"/>
      <c r="B381" s="152"/>
      <c r="C381" s="152"/>
      <c r="D381" s="152"/>
      <c r="E381" s="152"/>
      <c r="F381" s="152"/>
      <c r="G381" s="152"/>
      <c r="H381" s="152"/>
      <c r="I381" s="152"/>
    </row>
    <row r="382" spans="1:9" ht="12.75">
      <c r="A382" s="152"/>
      <c r="B382" s="152"/>
      <c r="C382" s="152"/>
      <c r="D382" s="152"/>
      <c r="E382" s="152"/>
      <c r="F382" s="152"/>
      <c r="G382" s="152"/>
      <c r="H382" s="152"/>
      <c r="I382" s="152"/>
    </row>
    <row r="383" spans="1:9" ht="12.75">
      <c r="A383" s="152"/>
      <c r="B383" s="152"/>
      <c r="C383" s="152"/>
      <c r="D383" s="152"/>
      <c r="E383" s="152"/>
      <c r="F383" s="152"/>
      <c r="G383" s="152"/>
      <c r="H383" s="152"/>
      <c r="I383" s="152"/>
    </row>
    <row r="384" spans="1:9" ht="12.75">
      <c r="A384" s="152"/>
      <c r="B384" s="152"/>
      <c r="C384" s="152"/>
      <c r="D384" s="152"/>
      <c r="E384" s="152"/>
      <c r="F384" s="152"/>
      <c r="G384" s="152"/>
      <c r="H384" s="152"/>
      <c r="I384" s="152"/>
    </row>
    <row r="385" spans="1:9" ht="12.75">
      <c r="A385" s="152"/>
      <c r="B385" s="152"/>
      <c r="C385" s="152"/>
      <c r="D385" s="152"/>
      <c r="E385" s="152"/>
      <c r="F385" s="152"/>
      <c r="G385" s="152"/>
      <c r="H385" s="152"/>
      <c r="I385" s="152"/>
    </row>
    <row r="386" spans="1:9" ht="12.75">
      <c r="A386" s="152"/>
      <c r="B386" s="152"/>
      <c r="C386" s="152"/>
      <c r="D386" s="152"/>
      <c r="E386" s="152"/>
      <c r="F386" s="152"/>
      <c r="G386" s="152"/>
      <c r="H386" s="152"/>
      <c r="I386" s="152"/>
    </row>
    <row r="387" spans="1:9" ht="12.75">
      <c r="A387" s="152"/>
      <c r="B387" s="152"/>
      <c r="C387" s="152"/>
      <c r="D387" s="152"/>
      <c r="E387" s="152"/>
      <c r="F387" s="152"/>
      <c r="G387" s="152"/>
      <c r="H387" s="152"/>
      <c r="I387" s="152"/>
    </row>
    <row r="388" spans="1:9" ht="12.75">
      <c r="A388" s="152"/>
      <c r="B388" s="152"/>
      <c r="C388" s="152"/>
      <c r="D388" s="152"/>
      <c r="E388" s="152"/>
      <c r="F388" s="152"/>
      <c r="G388" s="152"/>
      <c r="H388" s="152"/>
      <c r="I388" s="152"/>
    </row>
    <row r="389" spans="1:9" ht="12.75">
      <c r="A389" s="152"/>
      <c r="B389" s="152"/>
      <c r="C389" s="152"/>
      <c r="D389" s="152"/>
      <c r="E389" s="152"/>
      <c r="F389" s="152"/>
      <c r="G389" s="152"/>
      <c r="H389" s="152"/>
      <c r="I389" s="152"/>
    </row>
    <row r="390" spans="1:9" ht="12.75">
      <c r="A390" s="152"/>
      <c r="B390" s="152"/>
      <c r="C390" s="152"/>
      <c r="D390" s="152"/>
      <c r="E390" s="152"/>
      <c r="F390" s="152"/>
      <c r="G390" s="152"/>
      <c r="H390" s="152"/>
      <c r="I390" s="152"/>
    </row>
    <row r="391" spans="1:9" ht="12.75">
      <c r="A391" s="152"/>
      <c r="B391" s="152"/>
      <c r="C391" s="152"/>
      <c r="D391" s="152"/>
      <c r="E391" s="152"/>
      <c r="F391" s="152"/>
      <c r="G391" s="152"/>
      <c r="H391" s="152"/>
      <c r="I391" s="152"/>
    </row>
    <row r="392" spans="1:9" ht="12.75">
      <c r="A392" s="152"/>
      <c r="B392" s="152"/>
      <c r="C392" s="152"/>
      <c r="D392" s="152"/>
      <c r="E392" s="152"/>
      <c r="F392" s="152"/>
      <c r="G392" s="152"/>
      <c r="H392" s="152"/>
      <c r="I392" s="152"/>
    </row>
    <row r="393" spans="1:9" ht="12.75">
      <c r="A393" s="152"/>
      <c r="B393" s="152"/>
      <c r="C393" s="152"/>
      <c r="D393" s="152"/>
      <c r="E393" s="152"/>
      <c r="F393" s="152"/>
      <c r="G393" s="152"/>
      <c r="H393" s="152"/>
      <c r="I393" s="152"/>
    </row>
    <row r="394" spans="1:9" ht="12.75">
      <c r="A394" s="152"/>
      <c r="B394" s="152"/>
      <c r="C394" s="152"/>
      <c r="D394" s="152"/>
      <c r="E394" s="152"/>
      <c r="F394" s="152"/>
      <c r="G394" s="152"/>
      <c r="H394" s="152"/>
      <c r="I394" s="152"/>
    </row>
    <row r="395" spans="1:9" ht="12.75">
      <c r="A395" s="152"/>
      <c r="B395" s="152"/>
      <c r="C395" s="152"/>
      <c r="D395" s="152"/>
      <c r="E395" s="152"/>
      <c r="F395" s="152"/>
      <c r="G395" s="152"/>
      <c r="H395" s="152"/>
      <c r="I395" s="152"/>
    </row>
    <row r="396" spans="1:9" ht="12.75">
      <c r="A396" s="152"/>
      <c r="B396" s="152"/>
      <c r="C396" s="152"/>
      <c r="D396" s="152"/>
      <c r="E396" s="152"/>
      <c r="F396" s="152"/>
      <c r="G396" s="152"/>
      <c r="H396" s="152"/>
      <c r="I396" s="152"/>
    </row>
    <row r="397" spans="1:9" ht="12.75">
      <c r="A397" s="152"/>
      <c r="B397" s="152"/>
      <c r="C397" s="152"/>
      <c r="D397" s="152"/>
      <c r="E397" s="152"/>
      <c r="F397" s="152"/>
      <c r="G397" s="152"/>
      <c r="H397" s="152"/>
      <c r="I397" s="152"/>
    </row>
    <row r="398" spans="1:9" ht="12.75">
      <c r="A398" s="152"/>
      <c r="B398" s="152"/>
      <c r="C398" s="152"/>
      <c r="D398" s="152"/>
      <c r="E398" s="152"/>
      <c r="F398" s="152"/>
      <c r="G398" s="152"/>
      <c r="H398" s="152"/>
      <c r="I398" s="152"/>
    </row>
    <row r="399" spans="1:9" ht="12.75">
      <c r="A399" s="152"/>
      <c r="B399" s="152"/>
      <c r="C399" s="152"/>
      <c r="D399" s="152"/>
      <c r="E399" s="152"/>
      <c r="F399" s="152"/>
      <c r="G399" s="152"/>
      <c r="H399" s="152"/>
      <c r="I399" s="152"/>
    </row>
    <row r="400" spans="1:9" ht="12.75">
      <c r="A400" s="152"/>
      <c r="B400" s="152"/>
      <c r="C400" s="152"/>
      <c r="D400" s="152"/>
      <c r="E400" s="152"/>
      <c r="F400" s="152"/>
      <c r="G400" s="152"/>
      <c r="H400" s="152"/>
      <c r="I400" s="152"/>
    </row>
    <row r="401" spans="1:9" ht="12.75">
      <c r="A401" s="152"/>
      <c r="B401" s="152"/>
      <c r="C401" s="152"/>
      <c r="D401" s="152"/>
      <c r="E401" s="152"/>
      <c r="F401" s="152"/>
      <c r="G401" s="152"/>
      <c r="H401" s="152"/>
      <c r="I401" s="152"/>
    </row>
    <row r="402" spans="1:9" ht="12.75">
      <c r="A402" s="152"/>
      <c r="B402" s="152"/>
      <c r="C402" s="152"/>
      <c r="D402" s="152"/>
      <c r="E402" s="152"/>
      <c r="F402" s="187"/>
      <c r="G402" s="187"/>
      <c r="H402" s="187"/>
      <c r="I402" s="152"/>
    </row>
    <row r="403" spans="1:9" ht="12.75">
      <c r="A403" s="152"/>
      <c r="B403" s="152"/>
      <c r="C403" s="152"/>
      <c r="D403" s="152"/>
      <c r="E403" s="152"/>
      <c r="F403" s="187"/>
      <c r="G403" s="187"/>
      <c r="H403" s="187"/>
      <c r="I403" s="152"/>
    </row>
    <row r="404" spans="1:9" ht="12.75">
      <c r="A404" s="152"/>
      <c r="B404" s="152"/>
      <c r="C404" s="152"/>
      <c r="D404" s="152"/>
      <c r="E404" s="152"/>
      <c r="F404" s="187"/>
      <c r="G404" s="187"/>
      <c r="H404" s="187"/>
      <c r="I404" s="152"/>
    </row>
    <row r="405" spans="1:9" ht="12.75">
      <c r="A405" s="152"/>
      <c r="B405" s="152"/>
      <c r="C405" s="152"/>
      <c r="D405" s="152"/>
      <c r="E405" s="152"/>
      <c r="F405" s="152"/>
      <c r="G405" s="152"/>
      <c r="H405" s="152"/>
      <c r="I405" s="152"/>
    </row>
    <row r="406" spans="1:9" ht="12.75">
      <c r="A406" s="152"/>
      <c r="B406" s="152"/>
      <c r="C406" s="152"/>
      <c r="D406" s="152"/>
      <c r="E406" s="152"/>
      <c r="F406" s="152"/>
      <c r="G406" s="152"/>
      <c r="H406" s="152"/>
      <c r="I406" s="152"/>
    </row>
    <row r="407" spans="1:9" ht="12.75">
      <c r="A407" s="152"/>
      <c r="B407" s="152"/>
      <c r="C407" s="152"/>
      <c r="D407" s="152"/>
      <c r="E407" s="152"/>
      <c r="F407" s="152"/>
      <c r="G407" s="152"/>
      <c r="H407" s="152"/>
      <c r="I407" s="152"/>
    </row>
    <row r="408" spans="1:9" ht="12.75">
      <c r="A408" s="152"/>
      <c r="B408" s="152"/>
      <c r="C408" s="152"/>
      <c r="D408" s="152"/>
      <c r="E408" s="152"/>
      <c r="F408" s="152"/>
      <c r="G408" s="152"/>
      <c r="H408" s="152"/>
      <c r="I408" s="152"/>
    </row>
    <row r="409" spans="1:9" ht="12.75">
      <c r="A409" s="152"/>
      <c r="B409" s="152"/>
      <c r="C409" s="152"/>
      <c r="D409" s="152"/>
      <c r="E409" s="152"/>
      <c r="F409" s="152"/>
      <c r="G409" s="152"/>
      <c r="H409" s="152"/>
      <c r="I409" s="152"/>
    </row>
    <row r="410" spans="1:9" ht="12.75">
      <c r="A410" s="152"/>
      <c r="B410" s="152"/>
      <c r="C410" s="152"/>
      <c r="D410" s="152"/>
      <c r="E410" s="152"/>
      <c r="F410" s="152"/>
      <c r="G410" s="152"/>
      <c r="H410" s="152"/>
      <c r="I410" s="152"/>
    </row>
    <row r="411" spans="1:9" ht="12.75">
      <c r="A411" s="152"/>
      <c r="B411" s="152"/>
      <c r="C411" s="152"/>
      <c r="D411" s="152"/>
      <c r="E411" s="152"/>
      <c r="F411" s="152"/>
      <c r="G411" s="152"/>
      <c r="H411" s="152"/>
      <c r="I411" s="152"/>
    </row>
    <row r="412" spans="1:9" ht="12.75">
      <c r="A412" s="152"/>
      <c r="B412" s="152"/>
      <c r="C412" s="152"/>
      <c r="D412" s="152"/>
      <c r="E412" s="152"/>
      <c r="F412" s="152"/>
      <c r="G412" s="152"/>
      <c r="H412" s="152"/>
      <c r="I412" s="152"/>
    </row>
    <row r="413" spans="1:9" ht="12.75">
      <c r="A413" s="152"/>
      <c r="B413" s="152"/>
      <c r="C413" s="152"/>
      <c r="D413" s="152"/>
      <c r="E413" s="152"/>
      <c r="F413" s="152"/>
      <c r="G413" s="152"/>
      <c r="H413" s="152"/>
      <c r="I413" s="152"/>
    </row>
    <row r="414" spans="1:9" ht="12.75">
      <c r="A414" s="152"/>
      <c r="B414" s="152"/>
      <c r="C414" s="152"/>
      <c r="D414" s="152"/>
      <c r="E414" s="152"/>
      <c r="F414" s="152"/>
      <c r="G414" s="152"/>
      <c r="H414" s="152"/>
      <c r="I414" s="152"/>
    </row>
    <row r="415" spans="1:9" ht="12.75">
      <c r="A415" s="152"/>
      <c r="B415" s="152"/>
      <c r="C415" s="152"/>
      <c r="D415" s="152"/>
      <c r="E415" s="152"/>
      <c r="F415" s="152"/>
      <c r="G415" s="152"/>
      <c r="H415" s="152"/>
      <c r="I415" s="152"/>
    </row>
    <row r="416" spans="1:9" ht="12.75">
      <c r="A416" s="152"/>
      <c r="B416" s="152"/>
      <c r="C416" s="152"/>
      <c r="D416" s="152"/>
      <c r="E416" s="152"/>
      <c r="F416" s="152"/>
      <c r="G416" s="152"/>
      <c r="H416" s="152"/>
      <c r="I416" s="152"/>
    </row>
    <row r="417" spans="1:9" ht="12.75">
      <c r="A417" s="152"/>
      <c r="B417" s="152"/>
      <c r="C417" s="152"/>
      <c r="D417" s="152"/>
      <c r="E417" s="152"/>
      <c r="F417" s="152"/>
      <c r="G417" s="152"/>
      <c r="H417" s="152"/>
      <c r="I417" s="152"/>
    </row>
    <row r="418" spans="1:9" ht="12.75">
      <c r="A418" s="152"/>
      <c r="B418" s="152"/>
      <c r="C418" s="152"/>
      <c r="D418" s="152"/>
      <c r="E418" s="152"/>
      <c r="F418" s="152"/>
      <c r="G418" s="152"/>
      <c r="H418" s="152"/>
      <c r="I418" s="152"/>
    </row>
    <row r="419" spans="1:9" ht="12.75">
      <c r="A419" s="152"/>
      <c r="B419" s="152"/>
      <c r="C419" s="152"/>
      <c r="D419" s="152"/>
      <c r="E419" s="152"/>
      <c r="F419" s="152"/>
      <c r="G419" s="152"/>
      <c r="H419" s="152"/>
      <c r="I419" s="152"/>
    </row>
    <row r="420" spans="1:9" ht="12.75">
      <c r="A420" s="152"/>
      <c r="B420" s="152"/>
      <c r="C420" s="152"/>
      <c r="D420" s="152"/>
      <c r="E420" s="152"/>
      <c r="F420" s="152"/>
      <c r="G420" s="152"/>
      <c r="H420" s="152"/>
      <c r="I420" s="152"/>
    </row>
    <row r="421" spans="1:9" ht="12.75">
      <c r="A421" s="152"/>
      <c r="B421" s="152"/>
      <c r="C421" s="152"/>
      <c r="D421" s="152"/>
      <c r="E421" s="152"/>
      <c r="F421" s="152"/>
      <c r="G421" s="152"/>
      <c r="H421" s="152"/>
      <c r="I421" s="152"/>
    </row>
    <row r="422" spans="1:9" ht="12.75">
      <c r="A422" s="152"/>
      <c r="B422" s="152"/>
      <c r="C422" s="152"/>
      <c r="D422" s="152"/>
      <c r="E422" s="152"/>
      <c r="F422" s="152"/>
      <c r="G422" s="152"/>
      <c r="H422" s="152"/>
      <c r="I422" s="152"/>
    </row>
    <row r="423" spans="1:3" ht="12.75">
      <c r="A423" s="152"/>
      <c r="B423" s="152"/>
      <c r="C423" s="152"/>
    </row>
    <row r="424" spans="1:3" ht="12.75">
      <c r="A424" s="152"/>
      <c r="B424" s="152"/>
      <c r="C424" s="152"/>
    </row>
    <row r="425" spans="1:3" ht="12.75">
      <c r="A425" s="152"/>
      <c r="B425" s="152"/>
      <c r="C425" s="152"/>
    </row>
    <row r="426" spans="1:3" ht="12.75">
      <c r="A426" s="152"/>
      <c r="B426" s="152"/>
      <c r="C426" s="152"/>
    </row>
    <row r="427" spans="1:3" ht="12.75">
      <c r="A427" s="152"/>
      <c r="B427" s="152"/>
      <c r="C427" s="152"/>
    </row>
    <row r="428" spans="1:3" ht="12.75">
      <c r="A428" s="152"/>
      <c r="B428" s="152"/>
      <c r="C428" s="152"/>
    </row>
    <row r="429" spans="1:3" ht="12.75">
      <c r="A429" s="152"/>
      <c r="B429" s="152"/>
      <c r="C429" s="152"/>
    </row>
    <row r="430" spans="1:3" ht="12.75">
      <c r="A430" s="152"/>
      <c r="B430" s="152"/>
      <c r="C430" s="152"/>
    </row>
    <row r="431" spans="1:3" ht="12.75">
      <c r="A431" s="152"/>
      <c r="B431" s="152"/>
      <c r="C431" s="152"/>
    </row>
    <row r="432" spans="1:3" ht="12.75">
      <c r="A432" s="152"/>
      <c r="B432" s="152"/>
      <c r="C432" s="152"/>
    </row>
    <row r="433" spans="1:3" ht="12.75">
      <c r="A433" s="152"/>
      <c r="B433" s="152"/>
      <c r="C433" s="152"/>
    </row>
    <row r="434" spans="1:3" ht="12.75">
      <c r="A434" s="152"/>
      <c r="B434" s="152"/>
      <c r="C434" s="152"/>
    </row>
    <row r="435" spans="1:3" ht="12.75">
      <c r="A435" s="152"/>
      <c r="B435" s="152"/>
      <c r="C435" s="152"/>
    </row>
    <row r="436" spans="1:3" ht="12.75">
      <c r="A436" s="152"/>
      <c r="B436" s="152"/>
      <c r="C436" s="152"/>
    </row>
    <row r="437" spans="1:3" ht="12.75">
      <c r="A437" s="152"/>
      <c r="B437" s="152"/>
      <c r="C437" s="152"/>
    </row>
    <row r="438" ht="12.75">
      <c r="A438" s="187"/>
    </row>
    <row r="439" ht="12.75">
      <c r="A439" s="187"/>
    </row>
  </sheetData>
  <sheetProtection password="98F7" sheet="1" objects="1" scenarios="1"/>
  <mergeCells count="26">
    <mergeCell ref="N15:S15"/>
    <mergeCell ref="N16:S16"/>
    <mergeCell ref="C15:I15"/>
    <mergeCell ref="B81:E81"/>
    <mergeCell ref="B67:E67"/>
    <mergeCell ref="B63:E63"/>
    <mergeCell ref="B64:E64"/>
    <mergeCell ref="B65:E65"/>
    <mergeCell ref="B66:E66"/>
    <mergeCell ref="B60:E60"/>
    <mergeCell ref="B62:E62"/>
    <mergeCell ref="B79:E79"/>
    <mergeCell ref="B80:E80"/>
    <mergeCell ref="B57:E57"/>
    <mergeCell ref="B58:E58"/>
    <mergeCell ref="B59:E59"/>
    <mergeCell ref="AM37:AP37"/>
    <mergeCell ref="AM42:AP42"/>
    <mergeCell ref="AF180:AI180"/>
    <mergeCell ref="AM49:AP49"/>
    <mergeCell ref="AM54:AP54"/>
    <mergeCell ref="AM57:AP57"/>
    <mergeCell ref="AM62:AP62"/>
    <mergeCell ref="AM66:AP66"/>
    <mergeCell ref="AM78:AP78"/>
    <mergeCell ref="AM82:AP82"/>
  </mergeCells>
  <conditionalFormatting sqref="D216">
    <cfRule type="expression" priority="2" dxfId="10" stopIfTrue="1">
      <formula>N216=0</formula>
    </cfRule>
  </conditionalFormatting>
  <conditionalFormatting sqref="K107:K115">
    <cfRule type="cellIs" priority="3" dxfId="10" operator="greaterThan" stopIfTrue="1">
      <formula>$Y107</formula>
    </cfRule>
  </conditionalFormatting>
  <conditionalFormatting sqref="J41">
    <cfRule type="expression" priority="4" dxfId="2" stopIfTrue="1">
      <formula>OR(AND($H$41&lt;0,$G$41&lt;ABS(H41)),I41&gt;365)</formula>
    </cfRule>
  </conditionalFormatting>
  <conditionalFormatting sqref="J74:J81 J62:J67 J49:J60 J42:J47">
    <cfRule type="expression" priority="5" dxfId="2" stopIfTrue="1">
      <formula>OR(AND($H42&lt;0,$G42&lt;ABS(H42)),I42&gt;365)</formula>
    </cfRule>
  </conditionalFormatting>
  <conditionalFormatting sqref="J48">
    <cfRule type="expression" priority="6" dxfId="2" stopIfTrue="1">
      <formula>I48&gt;365</formula>
    </cfRule>
  </conditionalFormatting>
  <conditionalFormatting sqref="K162">
    <cfRule type="expression" priority="7" dxfId="10" stopIfTrue="1">
      <formula>W162=0</formula>
    </cfRule>
  </conditionalFormatting>
  <conditionalFormatting sqref="T183:T185">
    <cfRule type="expression" priority="23" dxfId="5" stopIfTrue="1">
      <formula>$Z$189=1</formula>
    </cfRule>
    <cfRule type="expression" priority="24" dxfId="2" stopIfTrue="1">
      <formula>$Z$189=2</formula>
    </cfRule>
  </conditionalFormatting>
  <conditionalFormatting sqref="M216">
    <cfRule type="expression" priority="8" dxfId="2" stopIfTrue="1">
      <formula>$M$180+$I$180&lt;$M$216</formula>
    </cfRule>
  </conditionalFormatting>
  <conditionalFormatting sqref="O183:O185">
    <cfRule type="expression" priority="15" dxfId="5" stopIfTrue="1">
      <formula>$Z$187=1</formula>
    </cfRule>
    <cfRule type="expression" priority="16" dxfId="2" stopIfTrue="1">
      <formula>$Z$187=2</formula>
    </cfRule>
  </conditionalFormatting>
  <conditionalFormatting sqref="K163">
    <cfRule type="cellIs" priority="17" dxfId="14" operator="greaterThan" stopIfTrue="1">
      <formula>5</formula>
    </cfRule>
  </conditionalFormatting>
  <conditionalFormatting sqref="O180">
    <cfRule type="expression" priority="19" dxfId="2" stopIfTrue="1">
      <formula>OR(AND($V$11=1,$Z$180="nein"),AND($V$11=2,$AA$180="nein"))</formula>
    </cfRule>
  </conditionalFormatting>
  <conditionalFormatting sqref="M180">
    <cfRule type="expression" priority="20" dxfId="2" stopIfTrue="1">
      <formula>OR(AND($V$11=1,$Z$182="nein"),AND($V$11=2,$AA$182="nein"))</formula>
    </cfRule>
  </conditionalFormatting>
  <conditionalFormatting sqref="AL173:AN174">
    <cfRule type="expression" priority="21" dxfId="11" stopIfTrue="1">
      <formula>$V$11=""</formula>
    </cfRule>
  </conditionalFormatting>
  <conditionalFormatting sqref="L115">
    <cfRule type="expression" priority="22" dxfId="10" stopIfTrue="1">
      <formula>AND(ROUND($L$115,0)&lt;&gt;0,$J$115="")</formula>
    </cfRule>
  </conditionalFormatting>
  <conditionalFormatting sqref="E219">
    <cfRule type="expression" priority="32" dxfId="5" stopIfTrue="1">
      <formula>OR(AND($V$11=1,$Z$178="ok"),AND($V$11=2,$AA$178="ok"))</formula>
    </cfRule>
    <cfRule type="expression" priority="33" dxfId="2" stopIfTrue="1">
      <formula>OR(AND($V$11=1,$Z$178="nein"),AND($V$11=2,$AA$178="nein"))</formula>
    </cfRule>
  </conditionalFormatting>
  <conditionalFormatting sqref="E220">
    <cfRule type="expression" priority="34" dxfId="5" stopIfTrue="1">
      <formula>OR(AND($V$11=1,$Z$179="ok"),AND($V$11=2,$AA$179="ok"))</formula>
    </cfRule>
    <cfRule type="expression" priority="35" dxfId="2" stopIfTrue="1">
      <formula>OR(AND($V$11=1,$Z$179="nein"),AND($V$11=2,$AA$179="nein"))</formula>
    </cfRule>
  </conditionalFormatting>
  <conditionalFormatting sqref="E221">
    <cfRule type="expression" priority="36" dxfId="5" stopIfTrue="1">
      <formula>OR(AND($V$11=1,$Z$180="ok"),AND($V$11=2,$AA$180="ok"))</formula>
    </cfRule>
    <cfRule type="expression" priority="37" dxfId="2" stopIfTrue="1">
      <formula>OR(AND($V$11=1,$Z$180="nein"),AND($V$11=2,$AA$180="nein"))</formula>
    </cfRule>
  </conditionalFormatting>
  <conditionalFormatting sqref="I180">
    <cfRule type="expression" priority="38" dxfId="2" stopIfTrue="1">
      <formula>OR(AND($V$11=1,$I$180&lt;$Z$168),AND($V$11=2,$I$180&lt;$AA$168))</formula>
    </cfRule>
  </conditionalFormatting>
  <conditionalFormatting sqref="K180">
    <cfRule type="expression" priority="1" dxfId="2" stopIfTrue="1">
      <formula>OR(AND($V$11=1,$Z$179="nein"),AND($V$11=2,$AA$179="nein"))</formula>
    </cfRule>
  </conditionalFormatting>
  <dataValidations count="9">
    <dataValidation type="list" allowBlank="1" showInputMessage="1" showErrorMessage="1" sqref="N16">
      <formula1>$AB$8:$AB$13</formula1>
    </dataValidation>
    <dataValidation type="list" allowBlank="1" showInputMessage="1" showErrorMessage="1" sqref="N15">
      <formula1>$Y$8:$Y$11</formula1>
    </dataValidation>
    <dataValidation type="list" allowBlank="1" showInputMessage="1" showErrorMessage="1" sqref="H145 H141 H139">
      <formula1>$W$129:$W$131</formula1>
    </dataValidation>
    <dataValidation type="list" allowBlank="1" showInputMessage="1" showErrorMessage="1" sqref="H140 H129:H138">
      <formula1>$W$127:$W$129</formula1>
    </dataValidation>
    <dataValidation type="list" allowBlank="1" showInputMessage="1" showErrorMessage="1" sqref="M33:M34">
      <formula1>$V$14:$V$16</formula1>
    </dataValidation>
    <dataValidation type="list" allowBlank="1" showInputMessage="1" showErrorMessage="1" sqref="B57:E60">
      <formula1>$A$277:$A$282</formula1>
    </dataValidation>
    <dataValidation type="list" allowBlank="1" showInputMessage="1" showErrorMessage="1" sqref="B64:E68">
      <formula1>$A$285:$A$303</formula1>
    </dataValidation>
    <dataValidation type="list" allowBlank="1" showInputMessage="1" showErrorMessage="1" sqref="B79:E81">
      <formula1>$A$311:$A$317</formula1>
    </dataValidation>
    <dataValidation type="list" allowBlank="1" showInputMessage="1" showErrorMessage="1" sqref="C15">
      <formula1>$V$8:$V$10</formula1>
    </dataValidation>
  </dataValidations>
  <printOptions/>
  <pageMargins left="0.71" right="0.19" top="0.61" bottom="0.52" header="0.23" footer="0.28"/>
  <pageSetup fitToHeight="2" fitToWidth="1" horizontalDpi="600" verticalDpi="600" orientation="portrait" paperSize="9" scale="57" r:id="rId3"/>
  <headerFooter alignWithMargins="0">
    <oddFooter>&amp;L&amp;"Arial,Fett"&amp;11© AGRIDEA, BLW&amp;"Arial,Standard"&amp;10  &amp;9GMF / PLVH / PLCSI Version 1.6&amp;C&amp;9&amp;F&amp;R&amp;9&amp;P</oddFooter>
  </headerFooter>
  <rowBreaks count="1" manualBreakCount="1">
    <brk id="95" min="1" max="19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73"/>
    </row>
    <row r="2" spans="1:6" ht="23.25">
      <c r="A2" s="15"/>
      <c r="B2" s="123" t="str">
        <f>Texte!A359</f>
        <v>Tiernormen</v>
      </c>
      <c r="C2" s="123"/>
      <c r="D2" s="123"/>
      <c r="E2" s="123"/>
      <c r="F2" s="123"/>
    </row>
    <row r="3" spans="1:6" ht="23.25">
      <c r="A3" s="15"/>
      <c r="B3" s="15"/>
      <c r="C3" s="16"/>
      <c r="D3" s="15"/>
      <c r="E3" s="15"/>
      <c r="F3" s="74"/>
    </row>
    <row r="4" spans="1:6" ht="14.25" customHeight="1">
      <c r="A4" s="17"/>
      <c r="B4" s="18"/>
      <c r="C4" s="19"/>
      <c r="D4" s="742" t="str">
        <f>Texte!A362</f>
        <v>Grundfutter-</v>
      </c>
      <c r="E4" s="743"/>
      <c r="F4" s="114" t="str">
        <f>Texte!A366</f>
        <v>GVE</v>
      </c>
    </row>
    <row r="5" spans="1:9" ht="14.25" customHeight="1">
      <c r="A5" s="20"/>
      <c r="B5" s="21"/>
      <c r="C5" s="22"/>
      <c r="D5" s="744" t="str">
        <f>Texte!A363</f>
        <v>verzehr</v>
      </c>
      <c r="E5" s="745"/>
      <c r="F5" s="115" t="str">
        <f>Texte!A367</f>
        <v>Faktoren</v>
      </c>
      <c r="G5" s="141" t="s">
        <v>824</v>
      </c>
      <c r="H5" s="141" t="s">
        <v>825</v>
      </c>
      <c r="I5" s="141"/>
    </row>
    <row r="6" spans="1:9" ht="13.5" customHeight="1">
      <c r="A6" s="17"/>
      <c r="B6" s="23" t="str">
        <f>Texte!A360</f>
        <v>Tierkategorie</v>
      </c>
      <c r="C6" s="24" t="str">
        <f>Texte!A361</f>
        <v>Einheit</v>
      </c>
      <c r="D6" s="25" t="str">
        <f>Texte!A364</f>
        <v>TS/Tag</v>
      </c>
      <c r="E6" s="26" t="str">
        <f>Texte!A365</f>
        <v>TS/Jahr</v>
      </c>
      <c r="F6" s="113"/>
      <c r="G6" s="141"/>
      <c r="H6" s="141"/>
      <c r="I6" s="141"/>
    </row>
    <row r="7" spans="1:9" ht="23.25">
      <c r="A7" s="20"/>
      <c r="B7" s="27"/>
      <c r="C7" s="28"/>
      <c r="D7" s="29" t="s">
        <v>671</v>
      </c>
      <c r="E7" s="30" t="s">
        <v>815</v>
      </c>
      <c r="F7" s="113"/>
      <c r="G7" s="141"/>
      <c r="H7" s="141"/>
      <c r="I7" s="141"/>
    </row>
    <row r="8" spans="2:17" ht="12.75">
      <c r="B8" s="31" t="str">
        <f>Texte!A124</f>
        <v>Milchkühe</v>
      </c>
      <c r="C8" s="32" t="str">
        <f>Texte!A370</f>
        <v>1 Stück</v>
      </c>
      <c r="D8" s="112">
        <f>ROUND(E8/365*100,1)</f>
        <v>15.3</v>
      </c>
      <c r="E8" s="665">
        <v>56</v>
      </c>
      <c r="F8" s="116">
        <v>1</v>
      </c>
      <c r="G8" s="141"/>
      <c r="H8" s="141"/>
      <c r="I8" s="141"/>
      <c r="J8" s="46"/>
      <c r="K8" s="46"/>
      <c r="L8" s="46"/>
      <c r="M8" s="45"/>
      <c r="N8" s="45"/>
      <c r="O8" s="45"/>
      <c r="P8" s="45"/>
      <c r="Q8" s="45"/>
    </row>
    <row r="9" spans="2:17" ht="12.75">
      <c r="B9" s="33" t="str">
        <f>Texte!A125</f>
        <v>andere Kühe</v>
      </c>
      <c r="C9" s="35" t="str">
        <f>Texte!A370</f>
        <v>1 Stück</v>
      </c>
      <c r="D9" s="34">
        <f aca="true" t="shared" si="0" ref="D9:D49">ROUND(E9/365*100,1)</f>
        <v>15.3</v>
      </c>
      <c r="E9" s="39">
        <v>56</v>
      </c>
      <c r="F9" s="117">
        <v>1</v>
      </c>
      <c r="G9" s="141"/>
      <c r="H9" s="141"/>
      <c r="I9" s="141"/>
      <c r="J9" s="46"/>
      <c r="K9" s="46"/>
      <c r="L9" s="46"/>
      <c r="M9" s="45"/>
      <c r="N9" s="45"/>
      <c r="O9" s="45"/>
      <c r="P9" s="45"/>
      <c r="Q9" s="45"/>
    </row>
    <row r="10" spans="2:17" ht="12.75">
      <c r="B10" s="33" t="str">
        <f>Texte!A126</f>
        <v>Ausmastkuh</v>
      </c>
      <c r="C10" s="35" t="str">
        <f>Texte!A370</f>
        <v>1 Stück</v>
      </c>
      <c r="D10" s="34">
        <f t="shared" si="0"/>
        <v>14.6</v>
      </c>
      <c r="E10" s="39">
        <v>53.2</v>
      </c>
      <c r="F10" s="117">
        <v>1</v>
      </c>
      <c r="G10" s="141"/>
      <c r="H10" s="141"/>
      <c r="I10" s="141"/>
      <c r="J10" s="46"/>
      <c r="K10" s="46"/>
      <c r="L10" s="46"/>
      <c r="M10" s="45"/>
      <c r="N10" s="45"/>
      <c r="O10" s="45"/>
      <c r="P10" s="45"/>
      <c r="Q10" s="45"/>
    </row>
    <row r="11" spans="2:17" ht="12.75">
      <c r="B11" s="33" t="str">
        <f>Texte!A127</f>
        <v>Galtkuh</v>
      </c>
      <c r="C11" s="35" t="str">
        <f>Texte!A370</f>
        <v>1 Stück</v>
      </c>
      <c r="D11" s="34">
        <f t="shared" si="0"/>
        <v>11.1</v>
      </c>
      <c r="E11" s="39">
        <v>40.6</v>
      </c>
      <c r="F11" s="117">
        <v>1</v>
      </c>
      <c r="G11" s="141"/>
      <c r="H11" s="141"/>
      <c r="I11" s="141"/>
      <c r="J11" s="46"/>
      <c r="K11" s="46"/>
      <c r="L11" s="46"/>
      <c r="M11" s="45"/>
      <c r="N11" s="45"/>
      <c r="O11" s="45"/>
      <c r="P11" s="45"/>
      <c r="Q11" s="45"/>
    </row>
    <row r="12" spans="2:17" ht="12.75">
      <c r="B12" s="33" t="str">
        <f>Texte!A129</f>
        <v>Mutterkühe schwer (LG 700-800 kg)</v>
      </c>
      <c r="C12" s="35" t="str">
        <f>Texte!A370</f>
        <v>1 Stück</v>
      </c>
      <c r="D12" s="34">
        <f t="shared" si="0"/>
        <v>13.7</v>
      </c>
      <c r="E12" s="39">
        <v>50</v>
      </c>
      <c r="F12" s="117">
        <v>1</v>
      </c>
      <c r="G12" s="141"/>
      <c r="H12" s="141"/>
      <c r="I12" s="141"/>
      <c r="J12" s="46"/>
      <c r="K12" s="46"/>
      <c r="L12" s="46"/>
      <c r="M12" s="45"/>
      <c r="N12" s="45"/>
      <c r="O12" s="45"/>
      <c r="P12" s="45"/>
      <c r="Q12" s="45"/>
    </row>
    <row r="13" spans="2:17" ht="12.75">
      <c r="B13" s="33" t="str">
        <f>Texte!A130</f>
        <v>Mutterkühe mittel (LG 600-700 kg)</v>
      </c>
      <c r="C13" s="35" t="str">
        <f>Texte!A370</f>
        <v>1 Stück</v>
      </c>
      <c r="D13" s="34">
        <f t="shared" si="0"/>
        <v>12.3</v>
      </c>
      <c r="E13" s="39">
        <v>45</v>
      </c>
      <c r="F13" s="117">
        <v>1</v>
      </c>
      <c r="G13" s="141"/>
      <c r="H13" s="141"/>
      <c r="I13" s="141"/>
      <c r="J13" s="46"/>
      <c r="K13" s="46"/>
      <c r="L13" s="46"/>
      <c r="M13" s="45"/>
      <c r="N13" s="45"/>
      <c r="O13" s="45"/>
      <c r="P13" s="45"/>
      <c r="Q13" s="45"/>
    </row>
    <row r="14" spans="2:17" ht="12.75">
      <c r="B14" s="36" t="str">
        <f>Texte!A131</f>
        <v>Mutterkühe leicht (LG&lt;600 kg)</v>
      </c>
      <c r="C14" s="38" t="str">
        <f>Texte!A370</f>
        <v>1 Stück</v>
      </c>
      <c r="D14" s="37">
        <f t="shared" si="0"/>
        <v>10.4</v>
      </c>
      <c r="E14" s="40">
        <v>38</v>
      </c>
      <c r="F14" s="117">
        <v>1</v>
      </c>
      <c r="G14" s="141"/>
      <c r="H14" s="141"/>
      <c r="I14" s="141"/>
      <c r="J14" s="46"/>
      <c r="K14" s="46"/>
      <c r="L14" s="46"/>
      <c r="M14" s="45"/>
      <c r="N14" s="45"/>
      <c r="O14" s="45"/>
      <c r="P14" s="45"/>
      <c r="Q14" s="45"/>
    </row>
    <row r="15" spans="2:17" ht="12.75">
      <c r="B15" s="33" t="str">
        <f>Texte!A132</f>
        <v>Jungvieh, &lt; 160 Tage alt</v>
      </c>
      <c r="C15" s="63" t="str">
        <f>Texte!A371</f>
        <v>1 Platz</v>
      </c>
      <c r="D15" s="34">
        <f t="shared" si="0"/>
        <v>1.6</v>
      </c>
      <c r="E15" s="39">
        <v>6</v>
      </c>
      <c r="F15" s="117">
        <v>0.13</v>
      </c>
      <c r="G15" s="141"/>
      <c r="H15" s="141"/>
      <c r="I15" s="141"/>
      <c r="J15" s="46"/>
      <c r="K15" s="46"/>
      <c r="L15" s="46"/>
      <c r="M15" s="45"/>
      <c r="N15" s="45"/>
      <c r="O15" s="45"/>
      <c r="P15" s="45"/>
      <c r="Q15" s="45"/>
    </row>
    <row r="16" spans="2:17" ht="12.75">
      <c r="B16" s="33" t="str">
        <f>Texte!A133</f>
        <v>Jungvieh, 160-365 Tage alt</v>
      </c>
      <c r="C16" s="63" t="str">
        <f>Texte!A371</f>
        <v>1 Platz</v>
      </c>
      <c r="D16" s="34">
        <f t="shared" si="0"/>
        <v>5.5</v>
      </c>
      <c r="E16" s="39">
        <v>20.2</v>
      </c>
      <c r="F16" s="119">
        <v>0.33</v>
      </c>
      <c r="G16" s="141"/>
      <c r="H16" s="141"/>
      <c r="I16" s="141"/>
      <c r="J16" s="45"/>
      <c r="K16" s="45"/>
      <c r="L16" s="45"/>
      <c r="M16" s="45"/>
      <c r="N16" s="45"/>
      <c r="O16" s="45"/>
      <c r="P16" s="45"/>
      <c r="Q16" s="45"/>
    </row>
    <row r="17" spans="2:17" ht="12.75">
      <c r="B17" s="33" t="str">
        <f>Texte!A134</f>
        <v>Jungvieh, 1 bis 2-jährig</v>
      </c>
      <c r="C17" s="63" t="str">
        <f>Texte!A371</f>
        <v>1 Platz</v>
      </c>
      <c r="D17" s="34">
        <f t="shared" si="0"/>
        <v>7.1</v>
      </c>
      <c r="E17" s="39">
        <v>26</v>
      </c>
      <c r="F17" s="117">
        <v>0.4</v>
      </c>
      <c r="G17" s="141"/>
      <c r="H17" s="141"/>
      <c r="I17" s="141"/>
      <c r="J17" s="45"/>
      <c r="K17" s="45"/>
      <c r="L17" s="45"/>
      <c r="M17" s="45"/>
      <c r="N17" s="45"/>
      <c r="O17" s="45"/>
      <c r="P17" s="45"/>
      <c r="Q17" s="45"/>
    </row>
    <row r="18" spans="2:17" ht="12.75">
      <c r="B18" s="36" t="str">
        <f>Texte!A135</f>
        <v>Rinder &gt;2-jährig</v>
      </c>
      <c r="C18" s="38" t="str">
        <f>Texte!A371</f>
        <v>1 Platz</v>
      </c>
      <c r="D18" s="37">
        <f t="shared" si="0"/>
        <v>9</v>
      </c>
      <c r="E18" s="40">
        <v>33</v>
      </c>
      <c r="F18" s="117">
        <v>0.6</v>
      </c>
      <c r="G18" s="141"/>
      <c r="H18" s="141"/>
      <c r="I18" s="141"/>
      <c r="J18" s="45"/>
      <c r="K18" s="45"/>
      <c r="L18" s="45"/>
      <c r="M18" s="45"/>
      <c r="N18" s="45"/>
      <c r="O18" s="45"/>
      <c r="P18" s="45"/>
      <c r="Q18" s="45"/>
    </row>
    <row r="19" spans="2:17" ht="12.75">
      <c r="B19" s="33" t="str">
        <f>Texte!A136</f>
        <v>Mastkälber (50-200 kg)</v>
      </c>
      <c r="C19" s="63" t="str">
        <f>Texte!A371</f>
        <v>1 Platz</v>
      </c>
      <c r="D19" s="34">
        <f t="shared" si="0"/>
        <v>0.3</v>
      </c>
      <c r="E19" s="39">
        <v>1</v>
      </c>
      <c r="F19" s="119">
        <v>0.1</v>
      </c>
      <c r="G19" s="141"/>
      <c r="H19" s="141"/>
      <c r="I19" s="141"/>
      <c r="J19" s="45"/>
      <c r="K19" s="45"/>
      <c r="L19" s="45"/>
      <c r="M19" s="45"/>
      <c r="N19" s="45"/>
      <c r="O19" s="45"/>
      <c r="P19" s="45"/>
      <c r="Q19" s="45"/>
    </row>
    <row r="20" spans="2:17" ht="12.75">
      <c r="B20" s="33" t="str">
        <f>Texte!A137</f>
        <v>Mutterkuhkälber leicht, ca 350 kg</v>
      </c>
      <c r="C20" s="63" t="str">
        <f>Texte!A371</f>
        <v>1 Platz</v>
      </c>
      <c r="D20" s="34">
        <f t="shared" si="0"/>
        <v>3.6</v>
      </c>
      <c r="E20" s="39">
        <v>13.2</v>
      </c>
      <c r="F20" s="117">
        <f>(160*0.13+140*0.33)/300</f>
        <v>0.22333333333333333</v>
      </c>
      <c r="G20" s="141" t="s">
        <v>826</v>
      </c>
      <c r="H20" s="141" t="s">
        <v>641</v>
      </c>
      <c r="I20" s="141"/>
      <c r="J20" s="45"/>
      <c r="K20" s="45"/>
      <c r="L20" s="45"/>
      <c r="M20" s="45"/>
      <c r="N20" s="45"/>
      <c r="O20" s="45"/>
      <c r="P20" s="45"/>
      <c r="Q20" s="45"/>
    </row>
    <row r="21" spans="2:17" ht="12.75">
      <c r="B21" s="36" t="str">
        <f>Texte!A138</f>
        <v>Mutterkuhkälber schwer, ca 400 kg</v>
      </c>
      <c r="C21" s="38" t="str">
        <f>Texte!A371</f>
        <v>1 Platz</v>
      </c>
      <c r="D21" s="37">
        <f t="shared" si="0"/>
        <v>5.3</v>
      </c>
      <c r="E21" s="40">
        <v>19.2</v>
      </c>
      <c r="F21" s="117">
        <f>(160*0.13+140*0.33)/300</f>
        <v>0.22333333333333333</v>
      </c>
      <c r="G21" s="141" t="s">
        <v>826</v>
      </c>
      <c r="H21" s="141" t="s">
        <v>641</v>
      </c>
      <c r="I21" s="141"/>
      <c r="J21" s="45"/>
      <c r="K21" s="45"/>
      <c r="L21" s="45"/>
      <c r="M21" s="45"/>
      <c r="N21" s="45"/>
      <c r="O21" s="45"/>
      <c r="P21" s="45"/>
      <c r="Q21" s="45"/>
    </row>
    <row r="22" spans="2:17" ht="12.75">
      <c r="B22" s="33" t="str">
        <f>Texte!A139</f>
        <v>Rindviehmast intensiv, 65-520 kg</v>
      </c>
      <c r="C22" s="63" t="s">
        <v>725</v>
      </c>
      <c r="D22" s="657">
        <f t="shared" si="0"/>
        <v>3.8</v>
      </c>
      <c r="E22" s="666">
        <v>14</v>
      </c>
      <c r="F22" s="663">
        <v>0.281125</v>
      </c>
      <c r="G22" s="432" t="s">
        <v>78</v>
      </c>
      <c r="H22" s="142" t="s">
        <v>79</v>
      </c>
      <c r="I22" s="141"/>
      <c r="J22" s="45"/>
      <c r="K22" s="45"/>
      <c r="L22" s="45"/>
      <c r="M22" s="45"/>
      <c r="N22" s="45"/>
      <c r="O22" s="45"/>
      <c r="P22" s="45"/>
      <c r="Q22" s="45"/>
    </row>
    <row r="23" spans="2:17" ht="12.75">
      <c r="B23" s="33" t="str">
        <f>Texte!A140</f>
        <v>Rindviehmast Tränker &lt; 4 Mte.</v>
      </c>
      <c r="C23" s="63" t="s">
        <v>725</v>
      </c>
      <c r="D23" s="657">
        <f t="shared" si="0"/>
        <v>0.4</v>
      </c>
      <c r="E23" s="666">
        <v>1.5</v>
      </c>
      <c r="F23" s="664">
        <v>0.13</v>
      </c>
      <c r="G23" s="141">
        <v>0.13</v>
      </c>
      <c r="H23" s="141">
        <v>0.1</v>
      </c>
      <c r="I23" s="141"/>
      <c r="J23" s="45"/>
      <c r="K23" s="45"/>
      <c r="L23" s="45"/>
      <c r="M23" s="45"/>
      <c r="N23" s="45"/>
      <c r="O23" s="45"/>
      <c r="P23" s="45"/>
      <c r="Q23" s="45"/>
    </row>
    <row r="24" spans="2:17" ht="12.75">
      <c r="B24" s="33" t="str">
        <f>Texte!A141</f>
        <v>Rindviehmast intensiv &gt; 4 Monate</v>
      </c>
      <c r="C24" s="63" t="s">
        <v>725</v>
      </c>
      <c r="D24" s="657">
        <f t="shared" si="0"/>
        <v>4.7</v>
      </c>
      <c r="E24" s="666">
        <v>17</v>
      </c>
      <c r="F24" s="664">
        <v>0.2653424657534247</v>
      </c>
      <c r="G24" s="141" t="s">
        <v>827</v>
      </c>
      <c r="H24" s="141" t="s">
        <v>643</v>
      </c>
      <c r="I24" s="141"/>
      <c r="J24" s="45"/>
      <c r="K24" s="45"/>
      <c r="L24" s="45"/>
      <c r="M24" s="45"/>
      <c r="N24" s="45"/>
      <c r="O24" s="45"/>
      <c r="P24" s="45"/>
      <c r="Q24" s="45"/>
    </row>
    <row r="25" spans="2:17" ht="12.75">
      <c r="B25" s="33" t="str">
        <f>Texte!A142</f>
        <v>Rindviehmast Weidemast &gt; 4 Monate</v>
      </c>
      <c r="C25" s="63" t="s">
        <v>725</v>
      </c>
      <c r="D25" s="657">
        <f t="shared" si="0"/>
        <v>6.6</v>
      </c>
      <c r="E25" s="666">
        <v>24</v>
      </c>
      <c r="F25" s="664">
        <v>0.35877049180327875</v>
      </c>
      <c r="G25" s="141" t="s">
        <v>828</v>
      </c>
      <c r="H25" s="141" t="s">
        <v>642</v>
      </c>
      <c r="I25" s="141"/>
      <c r="J25" s="45"/>
      <c r="K25" s="45"/>
      <c r="L25" s="45"/>
      <c r="M25" s="45"/>
      <c r="N25" s="45"/>
      <c r="O25" s="45"/>
      <c r="P25" s="45"/>
      <c r="Q25" s="45"/>
    </row>
    <row r="26" spans="2:17" ht="12.75">
      <c r="B26" s="33" t="str">
        <f>Texte!A143</f>
        <v>Rindviehmast, intensive Ausmast</v>
      </c>
      <c r="C26" s="63" t="s">
        <v>725</v>
      </c>
      <c r="D26" s="657">
        <f t="shared" si="0"/>
        <v>5.8</v>
      </c>
      <c r="E26" s="666">
        <v>21</v>
      </c>
      <c r="F26" s="664">
        <v>0.23383561643835615</v>
      </c>
      <c r="G26" s="141" t="s">
        <v>80</v>
      </c>
      <c r="H26" s="141" t="s">
        <v>81</v>
      </c>
      <c r="I26" s="141"/>
      <c r="J26" s="45"/>
      <c r="K26" s="45"/>
      <c r="L26" s="45"/>
      <c r="M26" s="45"/>
      <c r="N26" s="45"/>
      <c r="O26" s="45"/>
      <c r="P26" s="45"/>
      <c r="Q26" s="45"/>
    </row>
    <row r="27" spans="2:17" ht="12.75">
      <c r="B27" s="36" t="str">
        <f>Texte!A144</f>
        <v>Zuchtstier</v>
      </c>
      <c r="C27" s="38" t="str">
        <f>Texte!A370</f>
        <v>1 Stück</v>
      </c>
      <c r="D27" s="37">
        <f t="shared" si="0"/>
        <v>8.2</v>
      </c>
      <c r="E27" s="40">
        <v>30</v>
      </c>
      <c r="F27" s="117">
        <v>0.6</v>
      </c>
      <c r="G27" s="141"/>
      <c r="H27" s="141"/>
      <c r="I27" s="141"/>
      <c r="J27" s="45"/>
      <c r="K27" s="45"/>
      <c r="L27" s="45"/>
      <c r="M27" s="45"/>
      <c r="N27" s="45"/>
      <c r="O27" s="45"/>
      <c r="P27" s="45"/>
      <c r="Q27" s="45"/>
    </row>
    <row r="28" spans="2:17" ht="12.75">
      <c r="B28" s="33" t="str">
        <f>Texte!A147</f>
        <v>Pferde &lt; 180 d, &gt; 148 cm*</v>
      </c>
      <c r="C28" s="63" t="str">
        <f>Texte!A370</f>
        <v>1 Stück</v>
      </c>
      <c r="D28" s="657">
        <f t="shared" si="0"/>
        <v>1.4</v>
      </c>
      <c r="E28" s="666">
        <v>5</v>
      </c>
      <c r="F28" s="119">
        <v>0.3</v>
      </c>
      <c r="G28" s="141"/>
      <c r="H28" s="141"/>
      <c r="I28" s="141"/>
      <c r="J28" s="45"/>
      <c r="K28" s="45"/>
      <c r="L28" s="45"/>
      <c r="M28" s="45"/>
      <c r="N28" s="45"/>
      <c r="O28" s="45"/>
      <c r="P28" s="45"/>
      <c r="Q28" s="45"/>
    </row>
    <row r="29" spans="2:9" ht="12.75">
      <c r="B29" s="33" t="str">
        <f>Texte!A148</f>
        <v>Pferde &gt; 180 d, &gt; 148 cm*</v>
      </c>
      <c r="C29" s="63" t="str">
        <f>Texte!A370</f>
        <v>1 Stück</v>
      </c>
      <c r="D29" s="657">
        <f t="shared" si="0"/>
        <v>7.7</v>
      </c>
      <c r="E29" s="666">
        <v>28</v>
      </c>
      <c r="F29" s="117">
        <v>0.67</v>
      </c>
      <c r="G29" s="141"/>
      <c r="H29" s="141"/>
      <c r="I29" s="141"/>
    </row>
    <row r="30" spans="2:6" ht="12.75">
      <c r="B30" s="33" t="str">
        <f>Texte!A149</f>
        <v>Maultiere, Maulesel &lt; 180 d, unabh. Widerristhöhe</v>
      </c>
      <c r="C30" s="63" t="str">
        <f>Texte!A370</f>
        <v>1 Stück</v>
      </c>
      <c r="D30" s="657">
        <f t="shared" si="0"/>
        <v>0.8</v>
      </c>
      <c r="E30" s="666">
        <v>3</v>
      </c>
      <c r="F30" s="117">
        <v>0.3</v>
      </c>
    </row>
    <row r="31" spans="2:6" ht="12.75">
      <c r="B31" s="33" t="str">
        <f>Texte!A150</f>
        <v>Maultiere, Maulesel &gt; 180 d, unabh. Widerristhöhe</v>
      </c>
      <c r="C31" s="63" t="str">
        <f>Texte!A371</f>
        <v>1 Platz</v>
      </c>
      <c r="D31" s="657">
        <f t="shared" si="0"/>
        <v>4.7</v>
      </c>
      <c r="E31" s="666">
        <v>17</v>
      </c>
      <c r="F31" s="117">
        <v>0.67</v>
      </c>
    </row>
    <row r="32" spans="2:6" ht="12.75">
      <c r="B32" s="36" t="str">
        <f>Texte!A151</f>
        <v>Ponys**, Kleinpferde und Esel, jeden Alters, &lt; 148 cm</v>
      </c>
      <c r="C32" s="38" t="str">
        <f>Texte!A371</f>
        <v>1 Platz</v>
      </c>
      <c r="D32" s="37">
        <f t="shared" si="0"/>
        <v>2.8</v>
      </c>
      <c r="E32" s="40">
        <v>10.4</v>
      </c>
      <c r="F32" s="117">
        <v>0.25</v>
      </c>
    </row>
    <row r="33" spans="2:6" ht="12.75">
      <c r="B33" s="33" t="str">
        <f>Texte!A152</f>
        <v>Ziegenplatz (inkl. Juntiere und Anteil Bock)</v>
      </c>
      <c r="C33" s="63" t="str">
        <f>Texte!A371</f>
        <v>1 Platz</v>
      </c>
      <c r="D33" s="34">
        <f t="shared" si="0"/>
        <v>2.1</v>
      </c>
      <c r="E33" s="39">
        <v>7.5</v>
      </c>
      <c r="F33" s="119">
        <v>0.17</v>
      </c>
    </row>
    <row r="34" spans="2:6" ht="12.75">
      <c r="B34" s="33" t="str">
        <f>Texte!A153</f>
        <v>Schafplatz (inkl. Jungtiere und Anteil Bock)</v>
      </c>
      <c r="C34" s="63" t="str">
        <f>Texte!A371</f>
        <v>1 Platz</v>
      </c>
      <c r="D34" s="34">
        <f t="shared" si="0"/>
        <v>2.2</v>
      </c>
      <c r="E34" s="39">
        <v>8</v>
      </c>
      <c r="F34" s="117">
        <v>0.17</v>
      </c>
    </row>
    <row r="35" spans="2:6" ht="12.75">
      <c r="B35" s="33" t="str">
        <f>Texte!A154</f>
        <v>Milchschafe (inkl.Jungtiere)</v>
      </c>
      <c r="C35" s="63" t="str">
        <f>Texte!A371</f>
        <v>1 Platz</v>
      </c>
      <c r="D35" s="34">
        <f t="shared" si="0"/>
        <v>2.5</v>
      </c>
      <c r="E35" s="39">
        <v>9</v>
      </c>
      <c r="F35" s="117">
        <v>0.25</v>
      </c>
    </row>
    <row r="36" spans="2:6" ht="12.75">
      <c r="B36" s="36" t="str">
        <f>Texte!A155</f>
        <v>Weidemastlamm, -gitzi</v>
      </c>
      <c r="C36" s="38" t="str">
        <f>Texte!A371</f>
        <v>1 Platz</v>
      </c>
      <c r="D36" s="37">
        <f t="shared" si="0"/>
        <v>0.4</v>
      </c>
      <c r="E36" s="40">
        <v>1.4</v>
      </c>
      <c r="F36" s="117">
        <v>0.03</v>
      </c>
    </row>
    <row r="37" spans="2:6" ht="12.75">
      <c r="B37" s="33" t="str">
        <f>Texte!A156</f>
        <v>Damhirsche inkl. Jungtiere, 1 Einheit=2 Tiere</v>
      </c>
      <c r="C37" s="63" t="str">
        <f>Texte!A368</f>
        <v>Einheit</v>
      </c>
      <c r="D37" s="34">
        <f t="shared" si="0"/>
        <v>2.7</v>
      </c>
      <c r="E37" s="39">
        <v>10</v>
      </c>
      <c r="F37" s="119">
        <f>2*0.1</f>
        <v>0.2</v>
      </c>
    </row>
    <row r="38" spans="2:6" ht="12.75">
      <c r="B38" s="33" t="str">
        <f>Texte!A157</f>
        <v>Rothirsche inkl. Jungtiere, 1 Einheit=2 Tiere</v>
      </c>
      <c r="C38" s="63" t="str">
        <f>Texte!A368</f>
        <v>Einheit</v>
      </c>
      <c r="D38" s="34">
        <f t="shared" si="0"/>
        <v>5.5</v>
      </c>
      <c r="E38" s="39">
        <v>20</v>
      </c>
      <c r="F38" s="117">
        <f>2*0.2</f>
        <v>0.4</v>
      </c>
    </row>
    <row r="39" spans="2:6" ht="12.75">
      <c r="B39" s="33" t="str">
        <f>Texte!A158</f>
        <v>Wapiti inkl. Jungtiere, 1 Einheit=2 Tiere</v>
      </c>
      <c r="C39" s="63" t="str">
        <f>Texte!A368</f>
        <v>Einheit</v>
      </c>
      <c r="D39" s="34">
        <f t="shared" si="0"/>
        <v>11</v>
      </c>
      <c r="E39" s="39">
        <v>40</v>
      </c>
      <c r="F39" s="117">
        <f>2*0.2</f>
        <v>0.4</v>
      </c>
    </row>
    <row r="40" spans="2:6" ht="12.75">
      <c r="B40" s="33" t="str">
        <f>Texte!A159</f>
        <v>Bisons über 900 d</v>
      </c>
      <c r="C40" s="63" t="str">
        <f>Texte!A370</f>
        <v>1 Stück</v>
      </c>
      <c r="D40" s="34">
        <f t="shared" si="0"/>
        <v>10.7</v>
      </c>
      <c r="E40" s="39">
        <v>39</v>
      </c>
      <c r="F40" s="117">
        <v>0.8</v>
      </c>
    </row>
    <row r="41" spans="2:6" ht="12.75">
      <c r="B41" s="36" t="str">
        <f>Texte!A160</f>
        <v>Bisons bis 900 d</v>
      </c>
      <c r="C41" s="38" t="str">
        <f>Texte!A370</f>
        <v>1 Stück</v>
      </c>
      <c r="D41" s="37">
        <f t="shared" si="0"/>
        <v>4.9</v>
      </c>
      <c r="E41" s="40">
        <v>18</v>
      </c>
      <c r="F41" s="117">
        <v>0.4</v>
      </c>
    </row>
    <row r="42" spans="2:6" ht="12.75">
      <c r="B42" s="33" t="str">
        <f>Texte!A161</f>
        <v>Lamas über 2-jährig</v>
      </c>
      <c r="C42" s="63" t="str">
        <f>Texte!A370</f>
        <v>1 Stück</v>
      </c>
      <c r="D42" s="34">
        <f t="shared" si="0"/>
        <v>2.3</v>
      </c>
      <c r="E42" s="39">
        <v>8.5</v>
      </c>
      <c r="F42" s="119">
        <v>0.17</v>
      </c>
    </row>
    <row r="43" spans="2:6" ht="12.75">
      <c r="B43" s="33" t="str">
        <f>Texte!A162</f>
        <v>Lamas unter 2-jährig</v>
      </c>
      <c r="C43" s="63" t="str">
        <f>Texte!A370</f>
        <v>1 Stück</v>
      </c>
      <c r="D43" s="34">
        <f t="shared" si="0"/>
        <v>1.3</v>
      </c>
      <c r="E43" s="39">
        <v>4.9</v>
      </c>
      <c r="F43" s="117">
        <v>0.11</v>
      </c>
    </row>
    <row r="44" spans="2:6" ht="12.75">
      <c r="B44" s="33" t="str">
        <f>Texte!A163</f>
        <v>Alpakas über 2-jährig</v>
      </c>
      <c r="C44" s="63" t="str">
        <f>Texte!A370</f>
        <v>1 Stück</v>
      </c>
      <c r="D44" s="34">
        <f t="shared" si="0"/>
        <v>1.5</v>
      </c>
      <c r="E44" s="39">
        <v>5.5</v>
      </c>
      <c r="F44" s="117">
        <v>0.11</v>
      </c>
    </row>
    <row r="45" spans="2:6" ht="12.75">
      <c r="B45" s="36" t="str">
        <f>Texte!A164</f>
        <v>Alpakas unter 2-jährig</v>
      </c>
      <c r="C45" s="38" t="str">
        <f>Texte!A370</f>
        <v>1 Stück</v>
      </c>
      <c r="D45" s="37">
        <f t="shared" si="0"/>
        <v>0.8</v>
      </c>
      <c r="E45" s="40">
        <v>3</v>
      </c>
      <c r="F45" s="117">
        <v>0.07</v>
      </c>
    </row>
    <row r="46" spans="2:6" ht="12.75">
      <c r="B46" s="33" t="str">
        <f>Texte!A168</f>
        <v>Kaninchen, Zibben inkl. Jungtiere bis 35 d</v>
      </c>
      <c r="C46" s="44" t="str">
        <f>Texte!A370</f>
        <v>1 Stück</v>
      </c>
      <c r="D46" s="34">
        <f t="shared" si="0"/>
        <v>0.1</v>
      </c>
      <c r="E46" s="44">
        <v>0.36</v>
      </c>
      <c r="F46" s="119">
        <v>0.034</v>
      </c>
    </row>
    <row r="47" spans="2:6" ht="12.75">
      <c r="B47" s="33" t="str">
        <f>Texte!A169</f>
        <v>Kaninchen, Jungtiere ab ca 35 Tagen</v>
      </c>
      <c r="C47" s="41" t="str">
        <f>Texte!A369</f>
        <v>100 Pl.</v>
      </c>
      <c r="D47" s="34">
        <f t="shared" si="0"/>
        <v>1.1</v>
      </c>
      <c r="E47" s="41">
        <v>4</v>
      </c>
      <c r="F47" s="117">
        <v>1.1</v>
      </c>
    </row>
    <row r="48" spans="2:6" ht="12.75">
      <c r="B48" s="33" t="str">
        <f>Texte!A170</f>
        <v>Strausse &gt; 13 Monate</v>
      </c>
      <c r="C48" s="41" t="str">
        <f>Texte!A370</f>
        <v>1 Stück</v>
      </c>
      <c r="D48" s="34">
        <f t="shared" si="0"/>
        <v>3</v>
      </c>
      <c r="E48" s="41">
        <v>11</v>
      </c>
      <c r="F48" s="117">
        <v>0.26</v>
      </c>
    </row>
    <row r="49" spans="2:6" ht="12.75">
      <c r="B49" s="36" t="str">
        <f>Texte!A171</f>
        <v>Strausse &lt; 13 Monate</v>
      </c>
      <c r="C49" s="42" t="str">
        <f>Texte!A370</f>
        <v>1 Stück</v>
      </c>
      <c r="D49" s="37">
        <f t="shared" si="0"/>
        <v>0.5</v>
      </c>
      <c r="E49" s="42">
        <v>2</v>
      </c>
      <c r="F49" s="117">
        <v>0.14</v>
      </c>
    </row>
    <row r="50" spans="2:6" ht="12.75">
      <c r="B50" s="33" t="str">
        <f>Texte!A172</f>
        <v>Mastschweineplatz / Remonten (26-108 kg)</v>
      </c>
      <c r="C50" s="63" t="str">
        <f>Texte!A371</f>
        <v>1 Platz</v>
      </c>
      <c r="D50" s="34"/>
      <c r="E50" s="41"/>
      <c r="F50" s="119">
        <v>0.17</v>
      </c>
    </row>
    <row r="51" spans="2:6" ht="12.75">
      <c r="B51" s="36" t="str">
        <f>Texte!A173</f>
        <v>Mastschweine / Remonten (26-108 kg)</v>
      </c>
      <c r="C51" s="38" t="str">
        <f>Texte!A370</f>
        <v>1 Stück</v>
      </c>
      <c r="D51" s="37"/>
      <c r="E51" s="42"/>
      <c r="F51" s="117"/>
    </row>
    <row r="52" spans="2:6" ht="12.75">
      <c r="B52" s="33" t="str">
        <f>Texte!A174</f>
        <v>Zuchtschweine inkl. Ferkel bis 26 kg</v>
      </c>
      <c r="C52" s="63" t="str">
        <f>Texte!A371</f>
        <v>1 Platz</v>
      </c>
      <c r="D52" s="34"/>
      <c r="E52" s="41">
        <v>0.5</v>
      </c>
      <c r="F52" s="119"/>
    </row>
    <row r="53" spans="2:6" ht="12.75">
      <c r="B53" s="33" t="str">
        <f>Texte!A175</f>
        <v>Galtsauenplatz, 2.94 Umtriebe</v>
      </c>
      <c r="C53" s="63" t="str">
        <f>Texte!A371</f>
        <v>1 Platz</v>
      </c>
      <c r="D53" s="34"/>
      <c r="E53" s="41">
        <v>0.5</v>
      </c>
      <c r="F53" s="117">
        <v>0.26</v>
      </c>
    </row>
    <row r="54" spans="2:6" ht="12.75">
      <c r="B54" s="33" t="str">
        <f>Texte!A176</f>
        <v>Galtsauen, pro Umtrieb</v>
      </c>
      <c r="C54" s="63" t="str">
        <f>Texte!A370</f>
        <v>1 Stück</v>
      </c>
      <c r="D54" s="34"/>
      <c r="E54" s="41">
        <v>0.5</v>
      </c>
      <c r="F54" s="117"/>
    </row>
    <row r="55" spans="2:6" ht="12.75">
      <c r="B55" s="33" t="str">
        <f>Texte!A177</f>
        <v>Zuchtschweine, säugend, 9.86 Umtriebe</v>
      </c>
      <c r="C55" s="63" t="str">
        <f>Texte!A371</f>
        <v>1 Platz</v>
      </c>
      <c r="D55" s="34"/>
      <c r="E55" s="41">
        <v>0.5</v>
      </c>
      <c r="F55" s="117">
        <v>0.55</v>
      </c>
    </row>
    <row r="56" spans="2:6" ht="12.75">
      <c r="B56" s="36" t="str">
        <f>Texte!A178</f>
        <v>Zuchtschweine, säugend, pro Umtrieb</v>
      </c>
      <c r="C56" s="38" t="str">
        <f>Texte!A370</f>
        <v>1 Stück</v>
      </c>
      <c r="D56" s="37" t="s">
        <v>778</v>
      </c>
      <c r="E56" s="41">
        <v>0.5</v>
      </c>
      <c r="F56" s="117"/>
    </row>
    <row r="57" spans="2:6" ht="12.75">
      <c r="B57" s="36" t="str">
        <f>Texte!A179</f>
        <v>Zuchteber</v>
      </c>
      <c r="C57" s="43" t="str">
        <f>Texte!A370</f>
        <v>1 Stück</v>
      </c>
      <c r="D57" s="37"/>
      <c r="E57" s="43">
        <v>0.5</v>
      </c>
      <c r="F57" s="119">
        <v>0.25</v>
      </c>
    </row>
    <row r="58" spans="2:6" ht="12.75">
      <c r="B58" s="47" t="str">
        <f>Texte!A180</f>
        <v>Ferkel abgesetzt, 8-26 kg, 9.61 Umtriebe</v>
      </c>
      <c r="C58" s="41" t="str">
        <f>Texte!A371</f>
        <v>1 Platz</v>
      </c>
      <c r="D58" s="34"/>
      <c r="E58" s="41"/>
      <c r="F58" s="119">
        <v>0.06</v>
      </c>
    </row>
    <row r="59" spans="2:6" ht="12.75">
      <c r="B59" s="120" t="str">
        <f>Texte!A181</f>
        <v>Ferkel abgesetzt, 8-26 kg</v>
      </c>
      <c r="C59" s="121" t="str">
        <f>Texte!A370</f>
        <v>1 Stück</v>
      </c>
      <c r="D59" s="122"/>
      <c r="E59" s="121"/>
      <c r="F59" s="118"/>
    </row>
  </sheetData>
  <sheetProtection password="98F7" sheet="1" objects="1" scenarios="1"/>
  <mergeCells count="2">
    <mergeCell ref="D4:E4"/>
    <mergeCell ref="D5:E5"/>
  </mergeCells>
  <printOptions/>
  <pageMargins left="0.787401575" right="0.54" top="0.984251969" bottom="0.984251969" header="0.4921259845" footer="0.4921259845"/>
  <pageSetup horizontalDpi="600" verticalDpi="600" orientation="portrait" paperSize="9" r:id="rId1"/>
  <headerFooter alignWithMargins="0">
    <oddFooter>&amp;L&amp;"Arial,Fett"&amp;11© AGRIDEA&amp;"Arial,Standard"&amp;10  &amp;9GMF / HLVP&amp;C&amp;9&amp;F&amp;R&amp;9&amp;P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showRowColHeader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515" customWidth="1"/>
    <col min="2" max="2" width="18.28125" style="515" customWidth="1"/>
    <col min="3" max="3" width="7.57421875" style="515" customWidth="1"/>
    <col min="4" max="4" width="5.57421875" style="515" customWidth="1"/>
    <col min="5" max="5" width="3.57421875" style="515" customWidth="1"/>
    <col min="6" max="6" width="6.8515625" style="515" customWidth="1"/>
    <col min="7" max="7" width="4.00390625" style="515" customWidth="1"/>
    <col min="8" max="8" width="11.7109375" style="515" customWidth="1"/>
    <col min="9" max="9" width="9.8515625" style="515" customWidth="1"/>
    <col min="10" max="10" width="7.7109375" style="515" customWidth="1"/>
    <col min="11" max="11" width="18.57421875" style="515" customWidth="1"/>
    <col min="12" max="12" width="4.7109375" style="515" customWidth="1"/>
    <col min="13" max="13" width="6.7109375" style="526" customWidth="1"/>
    <col min="14" max="16384" width="11.421875" style="526" customWidth="1"/>
  </cols>
  <sheetData>
    <row r="1" s="515" customFormat="1" ht="9" customHeight="1"/>
    <row r="2" spans="1:13" s="515" customFormat="1" ht="21" customHeight="1">
      <c r="A2" s="516"/>
      <c r="D2" s="517" t="str">
        <f>Texte!A404</f>
        <v>Anpassung des eigenen Produktionssytems</v>
      </c>
      <c r="L2" s="429"/>
      <c r="M2" s="429"/>
    </row>
    <row r="3" spans="2:13" s="515" customFormat="1" ht="21" customHeight="1">
      <c r="B3" s="429"/>
      <c r="C3" s="429"/>
      <c r="D3" s="517" t="str">
        <f>Texte!A405</f>
        <v>im Hinblick auf GMF</v>
      </c>
      <c r="E3" s="429"/>
      <c r="F3" s="429"/>
      <c r="G3" s="429"/>
      <c r="H3" s="429"/>
      <c r="I3" s="429"/>
      <c r="J3" s="429"/>
      <c r="K3" s="429"/>
      <c r="L3" s="429"/>
      <c r="M3" s="429"/>
    </row>
    <row r="4" spans="2:13" s="515" customFormat="1" ht="7.5" customHeight="1" thickBot="1">
      <c r="B4" s="518"/>
      <c r="C4" s="518"/>
      <c r="D4" s="519"/>
      <c r="E4" s="518"/>
      <c r="F4" s="520"/>
      <c r="G4" s="520"/>
      <c r="H4" s="520"/>
      <c r="I4" s="521"/>
      <c r="J4" s="519"/>
      <c r="K4" s="519"/>
      <c r="L4" s="519"/>
      <c r="M4" s="519"/>
    </row>
    <row r="5" spans="2:10" s="515" customFormat="1" ht="3.75" customHeight="1">
      <c r="B5" s="517"/>
      <c r="C5" s="517"/>
      <c r="E5" s="517"/>
      <c r="F5" s="522"/>
      <c r="G5" s="522"/>
      <c r="H5" s="522"/>
      <c r="I5" s="523"/>
      <c r="J5" s="429"/>
    </row>
    <row r="6" spans="2:14" ht="12.75">
      <c r="B6" s="524" t="str">
        <f>Texte!A406</f>
        <v>Achtung: Die Berechnung basiert auf den Angaben des Bilanzblattes</v>
      </c>
      <c r="D6" s="525"/>
      <c r="M6" s="515"/>
      <c r="N6" s="515"/>
    </row>
    <row r="7" spans="2:14" ht="12.75"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429"/>
      <c r="M7" s="429"/>
      <c r="N7" s="515"/>
    </row>
    <row r="8" spans="1:14" ht="15.75">
      <c r="A8" s="130"/>
      <c r="B8" s="527" t="str">
        <f>Texte!A407</f>
        <v>Erklärungen</v>
      </c>
      <c r="C8" s="526"/>
      <c r="D8" s="526"/>
      <c r="E8" s="526"/>
      <c r="F8" s="526"/>
      <c r="G8" s="526"/>
      <c r="H8" s="526"/>
      <c r="I8" s="526"/>
      <c r="J8" s="526"/>
      <c r="K8" s="526"/>
      <c r="L8" s="429"/>
      <c r="M8" s="429"/>
      <c r="N8" s="515"/>
    </row>
    <row r="9" spans="2:14" ht="12.75">
      <c r="B9" s="528" t="str">
        <f>Texte!A408</f>
        <v>Falls die Bedingung der Kraftfutterrestriktion nicht erfüllt ist, stellt sich die Frage einer Verringerung des Kraftfuttereinsatzes</v>
      </c>
      <c r="C9" s="526"/>
      <c r="D9" s="526"/>
      <c r="E9" s="526"/>
      <c r="F9" s="526"/>
      <c r="G9" s="526"/>
      <c r="H9" s="526"/>
      <c r="I9" s="526"/>
      <c r="J9" s="526"/>
      <c r="K9" s="526"/>
      <c r="L9" s="429"/>
      <c r="M9" s="429"/>
      <c r="N9" s="515"/>
    </row>
    <row r="10" spans="1:11" ht="12.75">
      <c r="A10" s="130"/>
      <c r="B10" s="515" t="str">
        <f>Texte!A409</f>
        <v>Dieses Blatt zeigt die finanziellen Auswirkungen bei einer eventuellen Anpassung des Produktionssystems</v>
      </c>
      <c r="C10" s="526"/>
      <c r="D10" s="526"/>
      <c r="E10" s="526"/>
      <c r="F10" s="526"/>
      <c r="G10" s="526"/>
      <c r="H10" s="526"/>
      <c r="I10" s="526"/>
      <c r="J10" s="526"/>
      <c r="K10" s="526"/>
    </row>
    <row r="11" spans="1:11" ht="12.75">
      <c r="A11" s="130"/>
      <c r="B11" s="526"/>
      <c r="C11" s="526"/>
      <c r="D11" s="526"/>
      <c r="E11" s="526"/>
      <c r="F11" s="526"/>
      <c r="G11" s="526"/>
      <c r="H11" s="526"/>
      <c r="I11" s="526"/>
      <c r="J11" s="526"/>
      <c r="K11" s="526"/>
    </row>
    <row r="12" spans="1:11" ht="12.75">
      <c r="A12" s="130"/>
      <c r="B12" s="528" t="str">
        <f>Texte!A410</f>
        <v>Prüfen Sie auf dem Bilanz-Blatt, ob ihre Anpassung (Teil A) die Erfüllung der Bedingungen</v>
      </c>
      <c r="C12" s="526"/>
      <c r="D12" s="526"/>
      <c r="E12" s="526"/>
      <c r="F12" s="526"/>
      <c r="G12" s="526"/>
      <c r="H12" s="526"/>
      <c r="I12" s="526"/>
      <c r="J12" s="526"/>
      <c r="K12" s="526"/>
    </row>
    <row r="13" spans="1:11" ht="12.75">
      <c r="A13" s="130"/>
      <c r="B13" s="528" t="str">
        <f>Texte!A411</f>
        <v>von maximal 10% Kraftfutter (Teil D) bewirkt.</v>
      </c>
      <c r="C13" s="526"/>
      <c r="D13" s="526"/>
      <c r="E13" s="526"/>
      <c r="F13" s="526"/>
      <c r="G13" s="526"/>
      <c r="H13" s="526"/>
      <c r="I13" s="526"/>
      <c r="J13" s="526"/>
      <c r="K13" s="526"/>
    </row>
    <row r="15" spans="2:12" ht="3.75" customHeight="1"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</row>
    <row r="16" spans="2:12" ht="15.75">
      <c r="B16" s="527" t="str">
        <f>Texte!A412</f>
        <v>Milchproduktion</v>
      </c>
      <c r="C16" s="526"/>
      <c r="D16" s="526"/>
      <c r="E16" s="526"/>
      <c r="F16" s="526"/>
      <c r="G16" s="526"/>
      <c r="H16" s="526"/>
      <c r="I16" s="526"/>
      <c r="J16" s="526"/>
      <c r="K16" s="526"/>
      <c r="L16" s="526"/>
    </row>
    <row r="17" spans="2:12" ht="15.75">
      <c r="B17" s="527"/>
      <c r="C17" s="526"/>
      <c r="D17" s="526"/>
      <c r="E17" s="526"/>
      <c r="F17" s="526"/>
      <c r="G17" s="526"/>
      <c r="H17" s="526"/>
      <c r="I17" s="526"/>
      <c r="J17" s="526"/>
      <c r="K17" s="526"/>
      <c r="L17" s="526"/>
    </row>
    <row r="18" spans="2:12" ht="12.75">
      <c r="B18" s="429" t="str">
        <f>Texte!A413</f>
        <v>Mittlerer Herdendurchschnitt</v>
      </c>
      <c r="C18" s="526"/>
      <c r="D18" s="526"/>
      <c r="E18" s="526"/>
      <c r="F18" s="526"/>
      <c r="G18" s="529" t="s">
        <v>310</v>
      </c>
      <c r="H18" s="530">
        <f>IF('Bilanz-bilan'!E41&lt;&gt;0,'Bilanz-bilan'!E41,"")</f>
      </c>
      <c r="I18" s="528" t="str">
        <f>Texte!A424</f>
        <v>kg Milch/Kuh</v>
      </c>
      <c r="J18" s="526"/>
      <c r="K18" s="528"/>
      <c r="L18" s="526"/>
    </row>
    <row r="19" spans="2:12" ht="12.75">
      <c r="B19" s="528"/>
      <c r="C19" s="526"/>
      <c r="D19" s="526"/>
      <c r="E19" s="526"/>
      <c r="F19" s="526"/>
      <c r="G19" s="526"/>
      <c r="H19" s="526"/>
      <c r="I19" s="526"/>
      <c r="J19" s="526"/>
      <c r="K19" s="526"/>
      <c r="L19" s="526"/>
    </row>
    <row r="20" spans="1:12" ht="12.75">
      <c r="A20" s="526"/>
      <c r="B20" s="429" t="str">
        <f>Texte!A414</f>
        <v>Angestrebte Milchleistung nach Anpassung</v>
      </c>
      <c r="C20" s="526"/>
      <c r="D20" s="526"/>
      <c r="E20" s="526"/>
      <c r="F20" s="526"/>
      <c r="G20" s="529" t="s">
        <v>310</v>
      </c>
      <c r="H20" s="531"/>
      <c r="I20" s="528" t="str">
        <f>Texte!A424</f>
        <v>kg Milch/Kuh</v>
      </c>
      <c r="J20" s="526"/>
      <c r="K20" s="528"/>
      <c r="L20" s="526"/>
    </row>
    <row r="21" spans="1:4" ht="12.75">
      <c r="A21" s="526"/>
      <c r="B21" s="526"/>
      <c r="D21" s="525"/>
    </row>
    <row r="22" spans="1:11" ht="12.75">
      <c r="A22" s="526"/>
      <c r="B22" s="429" t="str">
        <f>Texte!A415</f>
        <v>Anzahl Kühe</v>
      </c>
      <c r="D22" s="525"/>
      <c r="H22" s="532">
        <f>IF('Bilanz-bilan'!E41&lt;&gt;0,'Bilanz-bilan'!G41,"")</f>
      </c>
      <c r="I22" s="515" t="str">
        <f>Texte!A425</f>
        <v>Kühe</v>
      </c>
      <c r="K22" s="528"/>
    </row>
    <row r="23" spans="1:7" ht="3.75" customHeight="1">
      <c r="A23" s="526"/>
      <c r="B23" s="526"/>
      <c r="C23" s="526"/>
      <c r="D23" s="526"/>
      <c r="E23" s="526"/>
      <c r="F23" s="526"/>
      <c r="G23" s="526"/>
    </row>
    <row r="24" spans="1:8" ht="15.75">
      <c r="A24" s="526"/>
      <c r="B24" s="527" t="str">
        <f>Texte!A416</f>
        <v>Auswirkungen auf die Mengen</v>
      </c>
      <c r="D24" s="525"/>
      <c r="E24" s="526"/>
      <c r="F24" s="526"/>
      <c r="G24" s="526"/>
      <c r="H24" s="526"/>
    </row>
    <row r="25" spans="1:8" ht="15.75">
      <c r="A25" s="526"/>
      <c r="B25" s="527"/>
      <c r="D25" s="525"/>
      <c r="E25" s="526"/>
      <c r="F25" s="526"/>
      <c r="G25" s="526"/>
      <c r="H25" s="526"/>
    </row>
    <row r="26" spans="1:9" ht="12.75">
      <c r="A26" s="526"/>
      <c r="B26" s="429" t="str">
        <f>Texte!A417</f>
        <v>Verringerung der Milchproduktion total</v>
      </c>
      <c r="C26" s="526"/>
      <c r="D26" s="526"/>
      <c r="E26" s="526"/>
      <c r="F26" s="526"/>
      <c r="G26" s="526"/>
      <c r="H26" s="533">
        <f>IF(H20=0,"",(H20-H18)*H22)</f>
      </c>
      <c r="I26" s="515" t="str">
        <f>Texte!A426</f>
        <v>kg Milch</v>
      </c>
    </row>
    <row r="27" spans="1:11" ht="12.75">
      <c r="A27" s="526"/>
      <c r="B27" s="526"/>
      <c r="C27" s="526"/>
      <c r="D27" s="526"/>
      <c r="E27" s="526"/>
      <c r="F27" s="526"/>
      <c r="G27" s="526"/>
      <c r="H27" s="534"/>
      <c r="I27" s="526"/>
      <c r="J27" s="526"/>
      <c r="K27" s="526"/>
    </row>
    <row r="28" spans="1:12" ht="12.75">
      <c r="A28" s="526"/>
      <c r="B28" s="528" t="str">
        <f>Texte!A418</f>
        <v>Reduktion des Kraftfuttereinsatzes pro Kuh</v>
      </c>
      <c r="C28" s="526"/>
      <c r="D28" s="526"/>
      <c r="G28" s="526"/>
      <c r="H28" s="531"/>
      <c r="I28" s="528" t="str">
        <f>Texte!A427</f>
        <v>kg KF/Kuh</v>
      </c>
      <c r="J28" s="526"/>
      <c r="K28" s="528" t="str">
        <f>Texte!A432</f>
        <v>siehe Erklärung*</v>
      </c>
      <c r="L28" s="526"/>
    </row>
    <row r="29" spans="1:11" ht="3.75" customHeight="1">
      <c r="A29" s="535"/>
      <c r="B29" s="526"/>
      <c r="C29" s="526"/>
      <c r="D29" s="526"/>
      <c r="E29" s="526"/>
      <c r="F29" s="526"/>
      <c r="G29" s="526"/>
      <c r="H29" s="536"/>
      <c r="I29" s="526"/>
      <c r="J29" s="526"/>
      <c r="K29" s="526"/>
    </row>
    <row r="30" spans="2:11" ht="15.75">
      <c r="B30" s="527" t="str">
        <f>Texte!A419</f>
        <v>Auswirkungen auf die Wirtschaftlichkeit</v>
      </c>
      <c r="C30" s="526"/>
      <c r="D30" s="526"/>
      <c r="E30" s="526"/>
      <c r="F30" s="526"/>
      <c r="G30" s="526"/>
      <c r="H30" s="536"/>
      <c r="I30" s="526"/>
      <c r="J30" s="537" t="str">
        <f>Texte!A433</f>
        <v>Preis</v>
      </c>
      <c r="K30" s="526"/>
    </row>
    <row r="31" spans="1:11" ht="12.75">
      <c r="A31" s="405"/>
      <c r="B31" s="526"/>
      <c r="C31" s="526"/>
      <c r="D31" s="526"/>
      <c r="E31" s="526"/>
      <c r="F31" s="526"/>
      <c r="G31" s="526"/>
      <c r="H31" s="536"/>
      <c r="I31" s="526"/>
      <c r="J31" s="526"/>
      <c r="K31" s="526"/>
    </row>
    <row r="32" spans="1:11" ht="12.75">
      <c r="A32" s="405"/>
      <c r="B32" s="429" t="str">
        <f>Texte!A420</f>
        <v>Mindereinnahmen Milch</v>
      </c>
      <c r="C32" s="526"/>
      <c r="D32" s="526"/>
      <c r="E32" s="526"/>
      <c r="F32" s="526"/>
      <c r="G32" s="526"/>
      <c r="H32" s="530">
        <f>IF('Bilanz-bilan'!E41&lt;&gt;0,H26*J32/100,"")</f>
      </c>
      <c r="I32" s="526" t="str">
        <f>Texte!A428</f>
        <v>Fr.</v>
      </c>
      <c r="J32" s="531">
        <v>55</v>
      </c>
      <c r="K32" s="528" t="str">
        <f>Texte!A429</f>
        <v>Rp/kg</v>
      </c>
    </row>
    <row r="33" spans="1:11" ht="12.75">
      <c r="A33" s="405"/>
      <c r="B33" s="526"/>
      <c r="C33" s="526"/>
      <c r="D33" s="526"/>
      <c r="E33" s="526"/>
      <c r="F33" s="526"/>
      <c r="G33" s="526"/>
      <c r="H33" s="538"/>
      <c r="I33" s="526"/>
      <c r="J33" s="526"/>
      <c r="K33" s="526"/>
    </row>
    <row r="34" spans="1:11" ht="12.75">
      <c r="A34" s="405"/>
      <c r="B34" s="526" t="str">
        <f>Texte!A421</f>
        <v>Einsparung Kraftfutterkosten</v>
      </c>
      <c r="C34" s="526"/>
      <c r="D34" s="526"/>
      <c r="E34" s="526"/>
      <c r="F34" s="526"/>
      <c r="G34" s="526"/>
      <c r="H34" s="530">
        <f>IF('Bilanz-bilan'!E41&lt;&gt;0,H22*H28*J34/100,"")</f>
      </c>
      <c r="I34" s="526" t="str">
        <f>Texte!A428</f>
        <v>Fr.</v>
      </c>
      <c r="J34" s="531">
        <v>65</v>
      </c>
      <c r="K34" s="528" t="str">
        <f>Texte!A430</f>
        <v>Fr./dt</v>
      </c>
    </row>
    <row r="35" spans="1:11" ht="12.75">
      <c r="A35" s="405"/>
      <c r="B35" s="526"/>
      <c r="C35" s="526"/>
      <c r="D35" s="526"/>
      <c r="E35" s="526"/>
      <c r="F35" s="526"/>
      <c r="G35" s="526"/>
      <c r="H35" s="538"/>
      <c r="I35" s="526"/>
      <c r="J35" s="526"/>
      <c r="K35" s="526"/>
    </row>
    <row r="36" spans="1:11" ht="12.75">
      <c r="A36" s="405"/>
      <c r="B36" s="526" t="str">
        <f>Texte!A422</f>
        <v>Beiträge GMF</v>
      </c>
      <c r="C36" s="526"/>
      <c r="D36" s="526"/>
      <c r="E36" s="526"/>
      <c r="F36" s="526"/>
      <c r="G36" s="526"/>
      <c r="H36" s="530">
        <f>IF('Bilanz-bilan'!J117=0,"",J36*'Bilanz-bilan'!J117)</f>
      </c>
      <c r="I36" s="526" t="str">
        <f>Texte!A428</f>
        <v>Fr.</v>
      </c>
      <c r="J36" s="531">
        <v>200</v>
      </c>
      <c r="K36" s="526" t="str">
        <f>Texte!A431</f>
        <v>Fr./ha</v>
      </c>
    </row>
    <row r="37" spans="1:11" ht="3.75" customHeight="1" thickBot="1">
      <c r="A37" s="405"/>
      <c r="B37" s="526"/>
      <c r="C37" s="526"/>
      <c r="D37" s="526"/>
      <c r="E37" s="526"/>
      <c r="F37" s="526"/>
      <c r="G37" s="526"/>
      <c r="H37" s="536"/>
      <c r="I37" s="526"/>
      <c r="J37" s="526"/>
      <c r="K37" s="526"/>
    </row>
    <row r="38" spans="1:11" ht="16.5" thickBot="1">
      <c r="A38" s="405"/>
      <c r="B38" s="527" t="str">
        <f>Texte!A423</f>
        <v>Bilanz</v>
      </c>
      <c r="C38" s="526"/>
      <c r="D38" s="526"/>
      <c r="E38" s="526"/>
      <c r="F38" s="526"/>
      <c r="G38" s="526"/>
      <c r="H38" s="539">
        <f>IF('Bilanz-bilan'!E41&lt;&gt;0,SUM(H32:H36),"")</f>
      </c>
      <c r="I38" s="526" t="str">
        <f>Texte!A428</f>
        <v>Fr.</v>
      </c>
      <c r="J38" s="526"/>
      <c r="K38" s="526"/>
    </row>
    <row r="39" spans="1:11" ht="12.75">
      <c r="A39" s="405"/>
      <c r="B39" s="526"/>
      <c r="C39" s="526"/>
      <c r="D39" s="526"/>
      <c r="E39" s="526"/>
      <c r="F39" s="526"/>
      <c r="G39" s="526"/>
      <c r="H39" s="536"/>
      <c r="I39" s="526"/>
      <c r="J39" s="526"/>
      <c r="K39" s="526"/>
    </row>
    <row r="40" spans="1:11" ht="12.75">
      <c r="A40" s="130"/>
      <c r="B40" s="540"/>
      <c r="C40" s="526"/>
      <c r="D40" s="526"/>
      <c r="E40" s="526"/>
      <c r="F40" s="526"/>
      <c r="G40" s="526"/>
      <c r="H40" s="526"/>
      <c r="I40" s="526"/>
      <c r="J40" s="526"/>
      <c r="K40" s="526"/>
    </row>
    <row r="41" spans="1:11" ht="12.75">
      <c r="A41" s="130"/>
      <c r="B41" s="526"/>
      <c r="C41" s="526"/>
      <c r="D41" s="526"/>
      <c r="E41" s="526"/>
      <c r="F41" s="526"/>
      <c r="G41" s="526"/>
      <c r="H41" s="526"/>
      <c r="I41" s="526"/>
      <c r="J41" s="526"/>
      <c r="K41" s="526"/>
    </row>
    <row r="43" ht="12.75">
      <c r="B43" s="405" t="str">
        <f>Texte!A434</f>
        <v>Kraftfutterreduktion</v>
      </c>
    </row>
    <row r="44" ht="12.75">
      <c r="B44" s="515" t="str">
        <f>Texte!A435</f>
        <v>Reduzierte Milchleistung dividiert durch das MPP des KF ergibt eingesparte Kraftfuttermenge</v>
      </c>
    </row>
    <row r="45" ht="12.75">
      <c r="B45" s="515" t="str">
        <f>Texte!A436</f>
        <v>Annahme Milchleistungspotential = 2 kg Milch pro kg Kraftfutter*</v>
      </c>
    </row>
    <row r="46" ht="12.75">
      <c r="B46" s="405" t="str">
        <f>Texte!A437</f>
        <v>Beispiel:</v>
      </c>
    </row>
    <row r="47" spans="1:9" ht="12.75">
      <c r="A47" s="130"/>
      <c r="B47" s="515" t="str">
        <f>Texte!A438</f>
        <v>500 kg Milchleistungsreduktion / 2 (MPP KF) = 250 kg Kraftfuttereinsparung</v>
      </c>
      <c r="G47" s="541"/>
      <c r="H47" s="541"/>
      <c r="I47" s="541"/>
    </row>
    <row r="48" spans="1:9" ht="12.75">
      <c r="A48" s="130"/>
      <c r="B48" s="515" t="str">
        <f>Texte!A439</f>
        <v>*Hinweis: die tatsächliche Milchleistungsänderung pro kg Kraftfuttereinsatz oder -einsparung</v>
      </c>
      <c r="G48" s="541"/>
      <c r="H48" s="541"/>
      <c r="I48" s="541"/>
    </row>
    <row r="49" spans="1:9" ht="12.75">
      <c r="A49" s="130"/>
      <c r="B49" s="515" t="str">
        <f>Texte!A440</f>
        <v>kann je nach Rationszusammensetzung variieren zwischen ca. 1 und 3</v>
      </c>
      <c r="G49" s="541"/>
      <c r="H49" s="541"/>
      <c r="I49" s="541"/>
    </row>
    <row r="50" spans="1:9" ht="12.75">
      <c r="A50" s="130"/>
      <c r="G50" s="541"/>
      <c r="H50" s="541"/>
      <c r="I50" s="541"/>
    </row>
    <row r="51" spans="1:9" ht="12.75">
      <c r="A51" s="130"/>
      <c r="G51" s="541"/>
      <c r="H51" s="541"/>
      <c r="I51" s="541"/>
    </row>
    <row r="52" spans="1:9" ht="12.75">
      <c r="A52" s="130"/>
      <c r="G52" s="541"/>
      <c r="H52" s="541"/>
      <c r="I52" s="541"/>
    </row>
    <row r="53" spans="1:9" ht="12.75">
      <c r="A53" s="130"/>
      <c r="G53" s="541"/>
      <c r="H53" s="541"/>
      <c r="I53" s="541"/>
    </row>
    <row r="54" spans="1:9" ht="12.75">
      <c r="A54" s="130"/>
      <c r="G54" s="541"/>
      <c r="H54" s="541"/>
      <c r="I54" s="541"/>
    </row>
    <row r="55" spans="1:9" ht="12.75">
      <c r="A55" s="130"/>
      <c r="G55" s="541"/>
      <c r="H55" s="541"/>
      <c r="I55" s="541"/>
    </row>
    <row r="56" spans="1:9" ht="12.75">
      <c r="A56" s="130"/>
      <c r="G56" s="541"/>
      <c r="H56" s="541"/>
      <c r="I56" s="541"/>
    </row>
    <row r="57" spans="1:9" ht="12.75">
      <c r="A57" s="130"/>
      <c r="G57" s="541"/>
      <c r="H57" s="541"/>
      <c r="I57" s="541"/>
    </row>
    <row r="58" spans="1:9" ht="12.75">
      <c r="A58" s="130"/>
      <c r="G58" s="541"/>
      <c r="H58" s="541"/>
      <c r="I58" s="541"/>
    </row>
    <row r="59" spans="1:9" ht="12.75">
      <c r="A59" s="130"/>
      <c r="G59" s="541"/>
      <c r="H59" s="541"/>
      <c r="I59" s="541"/>
    </row>
    <row r="60" spans="1:9" ht="12.75">
      <c r="A60" s="130"/>
      <c r="B60" s="541"/>
      <c r="C60" s="541"/>
      <c r="D60" s="541"/>
      <c r="E60" s="541"/>
      <c r="F60" s="541"/>
      <c r="G60" s="541"/>
      <c r="H60" s="541"/>
      <c r="I60" s="541"/>
    </row>
    <row r="61" spans="1:9" ht="12.75">
      <c r="A61" s="130"/>
      <c r="B61" s="541"/>
      <c r="C61" s="541"/>
      <c r="D61" s="541"/>
      <c r="E61" s="541"/>
      <c r="F61" s="541"/>
      <c r="G61" s="541"/>
      <c r="H61" s="541"/>
      <c r="I61" s="541"/>
    </row>
    <row r="62" spans="1:9" ht="12.75">
      <c r="A62" s="130"/>
      <c r="B62" s="541"/>
      <c r="C62" s="541"/>
      <c r="D62" s="541"/>
      <c r="E62" s="541"/>
      <c r="F62" s="541"/>
      <c r="G62" s="541"/>
      <c r="H62" s="541"/>
      <c r="I62" s="541"/>
    </row>
    <row r="63" spans="1:9" ht="12.75">
      <c r="A63" s="130"/>
      <c r="B63" s="541"/>
      <c r="C63" s="541"/>
      <c r="D63" s="541"/>
      <c r="E63" s="541"/>
      <c r="F63" s="541"/>
      <c r="G63" s="541"/>
      <c r="H63" s="541"/>
      <c r="I63" s="541"/>
    </row>
    <row r="64" spans="1:9" ht="12.75">
      <c r="A64" s="130"/>
      <c r="B64" s="541"/>
      <c r="C64" s="541"/>
      <c r="D64" s="541"/>
      <c r="E64" s="541"/>
      <c r="F64" s="541"/>
      <c r="G64" s="541"/>
      <c r="H64" s="541"/>
      <c r="I64" s="541"/>
    </row>
    <row r="65" spans="1:9" ht="12.75">
      <c r="A65" s="130"/>
      <c r="B65" s="541"/>
      <c r="C65" s="541"/>
      <c r="D65" s="541"/>
      <c r="E65" s="541"/>
      <c r="F65" s="541"/>
      <c r="G65" s="541"/>
      <c r="H65" s="541"/>
      <c r="I65" s="541"/>
    </row>
    <row r="66" spans="1:9" ht="12.75">
      <c r="A66" s="130"/>
      <c r="B66" s="541"/>
      <c r="C66" s="541"/>
      <c r="D66" s="541"/>
      <c r="E66" s="541"/>
      <c r="F66" s="541"/>
      <c r="G66" s="541"/>
      <c r="H66" s="541"/>
      <c r="I66" s="541"/>
    </row>
    <row r="67" spans="1:9" ht="12.75">
      <c r="A67" s="130"/>
      <c r="B67" s="541"/>
      <c r="C67" s="541"/>
      <c r="D67" s="541"/>
      <c r="E67" s="541"/>
      <c r="F67" s="541"/>
      <c r="G67" s="541"/>
      <c r="H67" s="541"/>
      <c r="I67" s="541"/>
    </row>
    <row r="68" spans="1:9" ht="12.75">
      <c r="A68" s="130"/>
      <c r="B68" s="541"/>
      <c r="C68" s="541"/>
      <c r="D68" s="541"/>
      <c r="E68" s="541"/>
      <c r="F68" s="541"/>
      <c r="G68" s="541"/>
      <c r="H68" s="541"/>
      <c r="I68" s="541"/>
    </row>
    <row r="69" spans="1:9" ht="12.75">
      <c r="A69" s="130"/>
      <c r="B69" s="541"/>
      <c r="C69" s="541"/>
      <c r="D69" s="541"/>
      <c r="E69" s="541"/>
      <c r="F69" s="541"/>
      <c r="G69" s="541"/>
      <c r="H69" s="541"/>
      <c r="I69" s="541"/>
    </row>
    <row r="70" spans="1:9" ht="12.75">
      <c r="A70" s="130"/>
      <c r="B70" s="541"/>
      <c r="C70" s="541"/>
      <c r="D70" s="541"/>
      <c r="E70" s="541"/>
      <c r="F70" s="541"/>
      <c r="G70" s="541"/>
      <c r="H70" s="541"/>
      <c r="I70" s="541"/>
    </row>
    <row r="71" spans="1:9" ht="12.75">
      <c r="A71" s="130"/>
      <c r="B71" s="541"/>
      <c r="C71" s="541"/>
      <c r="D71" s="541"/>
      <c r="E71" s="541"/>
      <c r="F71" s="541"/>
      <c r="G71" s="541"/>
      <c r="H71" s="541"/>
      <c r="I71" s="541"/>
    </row>
  </sheetData>
  <sheetProtection password="98F7" sheet="1" objects="1" scenarios="1"/>
  <printOptions/>
  <pageMargins left="0.7874015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434" t="s">
        <v>944</v>
      </c>
    </row>
    <row r="2" spans="1:7" ht="12.75">
      <c r="A2" s="434" t="s">
        <v>963</v>
      </c>
      <c r="B2" s="434" t="s">
        <v>945</v>
      </c>
      <c r="C2" s="434" t="s">
        <v>946</v>
      </c>
      <c r="D2" s="434" t="s">
        <v>947</v>
      </c>
      <c r="E2" s="434" t="s">
        <v>948</v>
      </c>
      <c r="F2" s="434" t="s">
        <v>962</v>
      </c>
      <c r="G2" s="434" t="s">
        <v>964</v>
      </c>
    </row>
    <row r="3" spans="1:7" ht="12.75">
      <c r="A3" t="s">
        <v>943</v>
      </c>
      <c r="B3" t="s">
        <v>591</v>
      </c>
      <c r="C3" t="s">
        <v>949</v>
      </c>
      <c r="D3" t="s">
        <v>950</v>
      </c>
      <c r="E3" s="433">
        <v>41386</v>
      </c>
      <c r="F3" t="s">
        <v>958</v>
      </c>
      <c r="G3" t="s">
        <v>965</v>
      </c>
    </row>
    <row r="4" spans="1:7" ht="12.75">
      <c r="A4" t="s">
        <v>943</v>
      </c>
      <c r="B4" t="s">
        <v>591</v>
      </c>
      <c r="C4" t="s">
        <v>955</v>
      </c>
      <c r="D4" t="s">
        <v>957</v>
      </c>
      <c r="E4" s="433">
        <v>41386</v>
      </c>
      <c r="F4" t="s">
        <v>958</v>
      </c>
      <c r="G4" t="s">
        <v>965</v>
      </c>
    </row>
    <row r="5" spans="1:7" ht="12.75">
      <c r="A5" t="s">
        <v>943</v>
      </c>
      <c r="B5" t="s">
        <v>591</v>
      </c>
      <c r="C5" t="s">
        <v>956</v>
      </c>
      <c r="D5" t="s">
        <v>951</v>
      </c>
      <c r="E5" s="433">
        <v>41386</v>
      </c>
      <c r="F5" t="s">
        <v>958</v>
      </c>
      <c r="G5" t="s">
        <v>965</v>
      </c>
    </row>
    <row r="6" spans="1:7" ht="12.75">
      <c r="A6" t="s">
        <v>943</v>
      </c>
      <c r="B6" t="s">
        <v>954</v>
      </c>
      <c r="C6" t="s">
        <v>952</v>
      </c>
      <c r="D6" t="s">
        <v>953</v>
      </c>
      <c r="E6" s="433">
        <v>41386</v>
      </c>
      <c r="F6" t="s">
        <v>958</v>
      </c>
      <c r="G6" t="s">
        <v>965</v>
      </c>
    </row>
    <row r="7" spans="1:7" ht="12.75">
      <c r="A7" t="s">
        <v>965</v>
      </c>
      <c r="B7" t="s">
        <v>1186</v>
      </c>
      <c r="C7" t="s">
        <v>1187</v>
      </c>
      <c r="D7" t="s">
        <v>1188</v>
      </c>
      <c r="E7" s="433">
        <v>41387</v>
      </c>
      <c r="F7" t="s">
        <v>958</v>
      </c>
      <c r="G7" t="s">
        <v>965</v>
      </c>
    </row>
    <row r="8" spans="1:7" ht="12.75">
      <c r="A8" t="s">
        <v>965</v>
      </c>
      <c r="B8" t="s">
        <v>954</v>
      </c>
      <c r="D8" t="s">
        <v>1189</v>
      </c>
      <c r="E8" s="433">
        <v>41387</v>
      </c>
      <c r="F8" t="s">
        <v>958</v>
      </c>
      <c r="G8" t="s">
        <v>965</v>
      </c>
    </row>
    <row r="9" spans="1:7" ht="63.75">
      <c r="A9" t="s">
        <v>1234</v>
      </c>
      <c r="B9" t="s">
        <v>591</v>
      </c>
      <c r="C9" t="s">
        <v>1235</v>
      </c>
      <c r="D9" s="441" t="s">
        <v>1236</v>
      </c>
      <c r="E9" s="433">
        <v>41478</v>
      </c>
      <c r="F9" t="s">
        <v>958</v>
      </c>
      <c r="G9" t="s">
        <v>1234</v>
      </c>
    </row>
    <row r="10" spans="1:7" ht="12.75">
      <c r="A10" t="s">
        <v>1237</v>
      </c>
      <c r="B10" t="s">
        <v>591</v>
      </c>
      <c r="C10" t="s">
        <v>1238</v>
      </c>
      <c r="D10" t="s">
        <v>1239</v>
      </c>
      <c r="E10" s="433">
        <v>41512</v>
      </c>
      <c r="F10" t="s">
        <v>958</v>
      </c>
      <c r="G10" t="s">
        <v>1237</v>
      </c>
    </row>
    <row r="11" spans="1:7" ht="12.75">
      <c r="A11" t="s">
        <v>1270</v>
      </c>
      <c r="B11" t="s">
        <v>591</v>
      </c>
      <c r="C11" t="s">
        <v>1271</v>
      </c>
      <c r="D11" t="s">
        <v>1272</v>
      </c>
      <c r="E11" s="433">
        <v>41535</v>
      </c>
      <c r="F11" t="s">
        <v>958</v>
      </c>
      <c r="G11" t="s">
        <v>1275</v>
      </c>
    </row>
    <row r="12" spans="1:7" ht="12.75">
      <c r="A12" t="s">
        <v>1275</v>
      </c>
      <c r="B12" t="s">
        <v>371</v>
      </c>
      <c r="D12" t="s">
        <v>373</v>
      </c>
      <c r="E12" s="433">
        <v>41568</v>
      </c>
      <c r="F12" t="s">
        <v>958</v>
      </c>
      <c r="G12" s="479" t="s">
        <v>372</v>
      </c>
    </row>
    <row r="13" spans="1:7" ht="12.75">
      <c r="A13" t="s">
        <v>1302</v>
      </c>
      <c r="B13" t="s">
        <v>1303</v>
      </c>
      <c r="C13" t="s">
        <v>1304</v>
      </c>
      <c r="E13" s="433">
        <v>41570</v>
      </c>
      <c r="F13" t="s">
        <v>958</v>
      </c>
      <c r="G13" s="479" t="s">
        <v>372</v>
      </c>
    </row>
    <row r="14" spans="1:7" ht="12.75">
      <c r="A14" t="s">
        <v>290</v>
      </c>
      <c r="B14" t="s">
        <v>591</v>
      </c>
      <c r="C14" t="s">
        <v>305</v>
      </c>
      <c r="D14" t="s">
        <v>306</v>
      </c>
      <c r="E14" s="433">
        <v>41618</v>
      </c>
      <c r="F14" t="s">
        <v>958</v>
      </c>
      <c r="G14" s="514">
        <v>1.1</v>
      </c>
    </row>
    <row r="15" spans="1:7" ht="12.75">
      <c r="A15" t="s">
        <v>290</v>
      </c>
      <c r="B15" t="s">
        <v>591</v>
      </c>
      <c r="D15" t="s">
        <v>291</v>
      </c>
      <c r="E15" s="433">
        <v>41618</v>
      </c>
      <c r="F15" t="s">
        <v>958</v>
      </c>
      <c r="G15" s="514">
        <v>1.1</v>
      </c>
    </row>
    <row r="16" spans="1:7" ht="12.75">
      <c r="A16" t="s">
        <v>290</v>
      </c>
      <c r="B16" t="s">
        <v>591</v>
      </c>
      <c r="D16" t="s">
        <v>292</v>
      </c>
      <c r="E16" s="433">
        <v>41618</v>
      </c>
      <c r="F16" t="s">
        <v>958</v>
      </c>
      <c r="G16" s="514">
        <v>1.1</v>
      </c>
    </row>
    <row r="17" spans="1:7" ht="12.75">
      <c r="A17" t="s">
        <v>290</v>
      </c>
      <c r="B17" t="s">
        <v>591</v>
      </c>
      <c r="C17" t="s">
        <v>296</v>
      </c>
      <c r="D17" t="s">
        <v>300</v>
      </c>
      <c r="E17" s="433">
        <v>41618</v>
      </c>
      <c r="F17" t="s">
        <v>958</v>
      </c>
      <c r="G17" s="514">
        <v>1.1</v>
      </c>
    </row>
    <row r="18" spans="1:7" ht="12.75">
      <c r="A18" t="s">
        <v>289</v>
      </c>
      <c r="B18" t="s">
        <v>954</v>
      </c>
      <c r="C18" t="s">
        <v>293</v>
      </c>
      <c r="E18" s="433">
        <v>41619</v>
      </c>
      <c r="F18" t="s">
        <v>958</v>
      </c>
      <c r="G18" s="514">
        <v>1.1</v>
      </c>
    </row>
    <row r="19" spans="1:7" ht="12.75">
      <c r="A19" t="s">
        <v>294</v>
      </c>
      <c r="B19" t="s">
        <v>591</v>
      </c>
      <c r="C19" t="s">
        <v>295</v>
      </c>
      <c r="E19" s="433">
        <v>41621</v>
      </c>
      <c r="F19" t="s">
        <v>958</v>
      </c>
      <c r="G19" s="514">
        <v>1.1</v>
      </c>
    </row>
    <row r="20" spans="1:7" ht="12.75">
      <c r="A20" t="s">
        <v>301</v>
      </c>
      <c r="B20" t="s">
        <v>307</v>
      </c>
      <c r="D20" t="s">
        <v>308</v>
      </c>
      <c r="E20" s="433">
        <v>41621</v>
      </c>
      <c r="F20" t="s">
        <v>958</v>
      </c>
      <c r="G20" s="514">
        <v>1.1</v>
      </c>
    </row>
    <row r="21" spans="1:7" ht="12.75">
      <c r="A21" t="s">
        <v>301</v>
      </c>
      <c r="B21" t="s">
        <v>591</v>
      </c>
      <c r="C21" t="s">
        <v>311</v>
      </c>
      <c r="E21" s="433">
        <v>41621</v>
      </c>
      <c r="F21" t="s">
        <v>958</v>
      </c>
      <c r="G21" s="514">
        <v>1.1</v>
      </c>
    </row>
    <row r="22" spans="1:7" ht="12.75">
      <c r="A22" t="s">
        <v>1321</v>
      </c>
      <c r="B22" t="s">
        <v>591</v>
      </c>
      <c r="D22" t="s">
        <v>1189</v>
      </c>
      <c r="E22" s="433">
        <v>41621</v>
      </c>
      <c r="F22" t="s">
        <v>958</v>
      </c>
      <c r="G22" s="514">
        <v>1.1</v>
      </c>
    </row>
    <row r="23" spans="1:7" ht="12.75">
      <c r="A23" t="s">
        <v>1321</v>
      </c>
      <c r="B23" t="s">
        <v>591</v>
      </c>
      <c r="C23" t="s">
        <v>1179</v>
      </c>
      <c r="D23" t="s">
        <v>1180</v>
      </c>
      <c r="E23" s="433">
        <v>41621</v>
      </c>
      <c r="F23" t="s">
        <v>958</v>
      </c>
      <c r="G23" s="514">
        <v>1.1</v>
      </c>
    </row>
    <row r="24" spans="1:7" ht="12.75">
      <c r="A24" t="s">
        <v>1321</v>
      </c>
      <c r="B24" t="s">
        <v>591</v>
      </c>
      <c r="C24" t="s">
        <v>1181</v>
      </c>
      <c r="E24" s="433">
        <v>41621</v>
      </c>
      <c r="F24" t="s">
        <v>958</v>
      </c>
      <c r="G24" s="514">
        <v>1.1</v>
      </c>
    </row>
    <row r="25" spans="1:7" ht="12.75">
      <c r="A25" t="s">
        <v>1039</v>
      </c>
      <c r="B25" t="s">
        <v>591</v>
      </c>
      <c r="C25" t="s">
        <v>1040</v>
      </c>
      <c r="D25" t="s">
        <v>1041</v>
      </c>
      <c r="E25" s="433">
        <v>41627</v>
      </c>
      <c r="F25" t="s">
        <v>958</v>
      </c>
      <c r="G25" s="514">
        <v>1.1</v>
      </c>
    </row>
    <row r="26" spans="1:8" ht="12.75">
      <c r="A26" t="s">
        <v>888</v>
      </c>
      <c r="B26" t="s">
        <v>591</v>
      </c>
      <c r="C26" t="s">
        <v>892</v>
      </c>
      <c r="E26" s="433">
        <v>41656</v>
      </c>
      <c r="F26" t="s">
        <v>958</v>
      </c>
      <c r="G26" s="514">
        <v>1.1</v>
      </c>
      <c r="H26" t="s">
        <v>515</v>
      </c>
    </row>
    <row r="27" spans="1:7" ht="12.75">
      <c r="A27" t="s">
        <v>512</v>
      </c>
      <c r="B27" t="s">
        <v>591</v>
      </c>
      <c r="C27" t="s">
        <v>513</v>
      </c>
      <c r="F27" t="s">
        <v>958</v>
      </c>
      <c r="G27" t="s">
        <v>518</v>
      </c>
    </row>
    <row r="28" spans="1:7" ht="76.5">
      <c r="A28" t="s">
        <v>514</v>
      </c>
      <c r="B28" t="s">
        <v>591</v>
      </c>
      <c r="C28" t="s">
        <v>516</v>
      </c>
      <c r="D28" s="441" t="s">
        <v>517</v>
      </c>
      <c r="E28" s="433">
        <v>41723</v>
      </c>
      <c r="F28" t="s">
        <v>958</v>
      </c>
      <c r="G28" s="514">
        <v>1.2</v>
      </c>
    </row>
    <row r="29" spans="1:7" ht="89.25">
      <c r="A29" t="s">
        <v>9</v>
      </c>
      <c r="B29" t="s">
        <v>591</v>
      </c>
      <c r="D29" s="441" t="s">
        <v>903</v>
      </c>
      <c r="E29" s="433">
        <v>41723</v>
      </c>
      <c r="F29" t="s">
        <v>958</v>
      </c>
      <c r="G29" s="514">
        <v>1.2</v>
      </c>
    </row>
    <row r="30" spans="2:7" ht="12.75">
      <c r="B30" t="s">
        <v>27</v>
      </c>
      <c r="C30" t="s">
        <v>28</v>
      </c>
      <c r="E30" s="433">
        <v>41723</v>
      </c>
      <c r="F30" t="s">
        <v>958</v>
      </c>
      <c r="G30" s="514">
        <v>1.2</v>
      </c>
    </row>
    <row r="31" spans="1:7" ht="12.75">
      <c r="A31" t="s">
        <v>13</v>
      </c>
      <c r="B31" t="s">
        <v>27</v>
      </c>
      <c r="C31" t="s">
        <v>14</v>
      </c>
      <c r="E31" s="433">
        <v>41731</v>
      </c>
      <c r="F31" t="s">
        <v>958</v>
      </c>
      <c r="G31" s="514">
        <v>1.2</v>
      </c>
    </row>
    <row r="32" spans="2:7" ht="12.75">
      <c r="B32" t="s">
        <v>591</v>
      </c>
      <c r="C32" s="514" t="s">
        <v>15</v>
      </c>
      <c r="D32" t="s">
        <v>16</v>
      </c>
      <c r="E32" s="433">
        <v>41731</v>
      </c>
      <c r="F32" t="s">
        <v>958</v>
      </c>
      <c r="G32" s="514">
        <v>1.2</v>
      </c>
    </row>
    <row r="33" spans="1:7" ht="12.75">
      <c r="A33" t="s">
        <v>17</v>
      </c>
      <c r="B33" t="s">
        <v>27</v>
      </c>
      <c r="C33" t="s">
        <v>18</v>
      </c>
      <c r="E33" s="433">
        <v>41731</v>
      </c>
      <c r="F33" t="s">
        <v>958</v>
      </c>
      <c r="G33" s="514">
        <v>1.2</v>
      </c>
    </row>
    <row r="34" spans="2:7" ht="12.75">
      <c r="B34" t="s">
        <v>591</v>
      </c>
      <c r="C34" t="s">
        <v>19</v>
      </c>
      <c r="E34" s="433">
        <v>41731</v>
      </c>
      <c r="F34" t="s">
        <v>958</v>
      </c>
      <c r="G34" s="514">
        <v>1.2</v>
      </c>
    </row>
    <row r="35" spans="1:7" ht="12.75">
      <c r="A35" t="s">
        <v>1109</v>
      </c>
      <c r="C35" t="s">
        <v>293</v>
      </c>
      <c r="E35" s="433">
        <v>41733</v>
      </c>
      <c r="F35" t="s">
        <v>958</v>
      </c>
      <c r="G35" s="514">
        <v>1.2</v>
      </c>
    </row>
    <row r="36" spans="1:7" ht="12.75">
      <c r="A36" t="s">
        <v>543</v>
      </c>
      <c r="B36" t="s">
        <v>591</v>
      </c>
      <c r="C36" t="s">
        <v>544</v>
      </c>
      <c r="E36" s="433">
        <v>41946</v>
      </c>
      <c r="F36" t="s">
        <v>958</v>
      </c>
      <c r="G36" s="514">
        <v>1.3</v>
      </c>
    </row>
    <row r="37" spans="1:7" ht="12.75">
      <c r="A37" t="s">
        <v>1254</v>
      </c>
      <c r="B37" t="s">
        <v>591</v>
      </c>
      <c r="C37" t="s">
        <v>1256</v>
      </c>
      <c r="E37" s="433">
        <v>42011</v>
      </c>
      <c r="F37" t="s">
        <v>958</v>
      </c>
      <c r="G37" s="514">
        <v>1.3</v>
      </c>
    </row>
    <row r="38" spans="1:7" ht="12.75">
      <c r="A38" t="s">
        <v>1254</v>
      </c>
      <c r="B38" t="s">
        <v>27</v>
      </c>
      <c r="C38" t="s">
        <v>1255</v>
      </c>
      <c r="E38" s="433">
        <v>42011</v>
      </c>
      <c r="F38" t="s">
        <v>958</v>
      </c>
      <c r="G38" s="514">
        <v>1.3</v>
      </c>
    </row>
    <row r="39" spans="1:7" ht="12.75">
      <c r="A39" t="s">
        <v>959</v>
      </c>
      <c r="B39" t="s">
        <v>591</v>
      </c>
      <c r="C39" t="s">
        <v>960</v>
      </c>
      <c r="D39" t="s">
        <v>961</v>
      </c>
      <c r="E39" s="433">
        <v>42066</v>
      </c>
      <c r="F39" t="s">
        <v>958</v>
      </c>
      <c r="G39" s="514">
        <v>1.3</v>
      </c>
    </row>
    <row r="40" spans="1:7" ht="12.75">
      <c r="A40" t="s">
        <v>1135</v>
      </c>
      <c r="B40" t="s">
        <v>591</v>
      </c>
      <c r="C40" t="s">
        <v>1136</v>
      </c>
      <c r="E40" s="433">
        <v>42096</v>
      </c>
      <c r="F40" t="s">
        <v>958</v>
      </c>
      <c r="G40" s="514">
        <v>1.3</v>
      </c>
    </row>
    <row r="41" spans="1:7" ht="12.75">
      <c r="A41" t="s">
        <v>1137</v>
      </c>
      <c r="B41" t="s">
        <v>591</v>
      </c>
      <c r="C41" t="s">
        <v>1138</v>
      </c>
      <c r="E41" s="433">
        <v>42102</v>
      </c>
      <c r="F41" t="s">
        <v>958</v>
      </c>
      <c r="G41" s="514">
        <v>1.4</v>
      </c>
    </row>
    <row r="42" spans="1:7" ht="12.75">
      <c r="A42" t="s">
        <v>1049</v>
      </c>
      <c r="B42" t="s">
        <v>591</v>
      </c>
      <c r="C42" t="s">
        <v>1048</v>
      </c>
      <c r="E42" s="433">
        <v>42103</v>
      </c>
      <c r="F42" t="s">
        <v>958</v>
      </c>
      <c r="G42" s="514">
        <v>1.4</v>
      </c>
    </row>
    <row r="43" spans="1:7" ht="12.75">
      <c r="A43" t="s">
        <v>1050</v>
      </c>
      <c r="B43" t="s">
        <v>1051</v>
      </c>
      <c r="E43" s="433">
        <v>42109</v>
      </c>
      <c r="F43" t="s">
        <v>1053</v>
      </c>
      <c r="G43" s="514">
        <v>1.4</v>
      </c>
    </row>
    <row r="44" spans="1:7" ht="12.75">
      <c r="A44" t="s">
        <v>1047</v>
      </c>
      <c r="B44" t="s">
        <v>1051</v>
      </c>
      <c r="C44" t="s">
        <v>1052</v>
      </c>
      <c r="E44" s="433">
        <v>42116</v>
      </c>
      <c r="F44" t="s">
        <v>1053</v>
      </c>
      <c r="G44" s="514">
        <v>1.4</v>
      </c>
    </row>
    <row r="45" spans="1:7" ht="12.75">
      <c r="A45" t="s">
        <v>1054</v>
      </c>
      <c r="B45" t="s">
        <v>591</v>
      </c>
      <c r="C45" t="s">
        <v>1055</v>
      </c>
      <c r="E45" s="433">
        <v>42121</v>
      </c>
      <c r="F45" t="s">
        <v>958</v>
      </c>
      <c r="G45" s="514">
        <v>1.4</v>
      </c>
    </row>
    <row r="46" spans="1:7" ht="12.75">
      <c r="A46" t="s">
        <v>1065</v>
      </c>
      <c r="B46" t="s">
        <v>591</v>
      </c>
      <c r="C46" t="s">
        <v>1066</v>
      </c>
      <c r="E46" s="433">
        <v>42186</v>
      </c>
      <c r="F46" t="s">
        <v>958</v>
      </c>
      <c r="G46" s="514">
        <v>1.4</v>
      </c>
    </row>
    <row r="47" spans="1:7" ht="12.75">
      <c r="A47" t="s">
        <v>1067</v>
      </c>
      <c r="B47" t="s">
        <v>591</v>
      </c>
      <c r="C47" t="s">
        <v>1068</v>
      </c>
      <c r="E47" s="433">
        <v>42186</v>
      </c>
      <c r="F47" t="s">
        <v>958</v>
      </c>
      <c r="G47" s="514">
        <v>1.4</v>
      </c>
    </row>
    <row r="48" spans="1:7" ht="12.75">
      <c r="A48" t="s">
        <v>332</v>
      </c>
      <c r="B48" t="s">
        <v>591</v>
      </c>
      <c r="C48" t="s">
        <v>333</v>
      </c>
      <c r="E48" s="433">
        <v>42186</v>
      </c>
      <c r="F48" t="s">
        <v>958</v>
      </c>
      <c r="G48" s="514">
        <v>1.4</v>
      </c>
    </row>
    <row r="49" spans="1:7" ht="12.75">
      <c r="A49" t="s">
        <v>1015</v>
      </c>
      <c r="B49" t="s">
        <v>591</v>
      </c>
      <c r="C49" t="s">
        <v>1016</v>
      </c>
      <c r="E49" s="433">
        <v>42201</v>
      </c>
      <c r="F49" t="s">
        <v>958</v>
      </c>
      <c r="G49" s="514">
        <v>1.4</v>
      </c>
    </row>
    <row r="50" spans="1:7" ht="12.75">
      <c r="A50" t="s">
        <v>248</v>
      </c>
      <c r="B50" t="s">
        <v>591</v>
      </c>
      <c r="C50" t="s">
        <v>249</v>
      </c>
      <c r="E50" s="433">
        <v>42206</v>
      </c>
      <c r="F50" t="s">
        <v>958</v>
      </c>
      <c r="G50" s="514">
        <v>1.4</v>
      </c>
    </row>
    <row r="51" spans="1:7" ht="12.75">
      <c r="A51" t="s">
        <v>1224</v>
      </c>
      <c r="B51" t="s">
        <v>591</v>
      </c>
      <c r="C51" t="s">
        <v>293</v>
      </c>
      <c r="E51" s="433">
        <v>42211</v>
      </c>
      <c r="F51" t="s">
        <v>958</v>
      </c>
      <c r="G51" s="514">
        <v>1.4</v>
      </c>
    </row>
    <row r="52" spans="1:7" ht="12.75">
      <c r="A52" t="s">
        <v>917</v>
      </c>
      <c r="B52" t="s">
        <v>591</v>
      </c>
      <c r="C52" t="s">
        <v>918</v>
      </c>
      <c r="E52" s="433">
        <v>42443</v>
      </c>
      <c r="F52" t="s">
        <v>958</v>
      </c>
      <c r="G52" t="s">
        <v>919</v>
      </c>
    </row>
    <row r="53" spans="1:7" ht="12.75">
      <c r="A53" t="s">
        <v>466</v>
      </c>
      <c r="B53" t="s">
        <v>591</v>
      </c>
      <c r="C53" t="s">
        <v>471</v>
      </c>
      <c r="E53" s="433">
        <v>42923</v>
      </c>
      <c r="F53" t="s">
        <v>958</v>
      </c>
      <c r="G53" s="514">
        <v>1.5</v>
      </c>
    </row>
    <row r="54" spans="1:7" ht="12.75">
      <c r="A54" t="s">
        <v>467</v>
      </c>
      <c r="B54" t="s">
        <v>591</v>
      </c>
      <c r="C54" t="s">
        <v>471</v>
      </c>
      <c r="E54" s="433">
        <v>42923</v>
      </c>
      <c r="F54" t="s">
        <v>958</v>
      </c>
      <c r="G54" s="514">
        <v>1.5</v>
      </c>
    </row>
    <row r="55" spans="1:7" ht="12.75">
      <c r="A55" t="s">
        <v>468</v>
      </c>
      <c r="B55" t="s">
        <v>591</v>
      </c>
      <c r="C55" t="s">
        <v>77</v>
      </c>
      <c r="E55" s="433">
        <v>42926</v>
      </c>
      <c r="F55" t="s">
        <v>958</v>
      </c>
      <c r="G55" s="514">
        <v>1.5</v>
      </c>
    </row>
    <row r="56" spans="1:7" ht="12.75">
      <c r="A56" t="s">
        <v>469</v>
      </c>
      <c r="B56" t="s">
        <v>591</v>
      </c>
      <c r="C56" t="s">
        <v>76</v>
      </c>
      <c r="E56" s="433">
        <v>42926</v>
      </c>
      <c r="F56" t="s">
        <v>958</v>
      </c>
      <c r="G56" s="514">
        <v>1.5</v>
      </c>
    </row>
    <row r="57" spans="1:2" ht="12.75">
      <c r="A57" t="s">
        <v>470</v>
      </c>
      <c r="B57" t="s">
        <v>591</v>
      </c>
    </row>
    <row r="58" spans="1:7" ht="12.75">
      <c r="A58" t="s">
        <v>97</v>
      </c>
      <c r="B58" t="s">
        <v>591</v>
      </c>
      <c r="C58" t="s">
        <v>98</v>
      </c>
      <c r="E58" s="433">
        <v>43035</v>
      </c>
      <c r="F58" t="s">
        <v>99</v>
      </c>
      <c r="G58" s="514">
        <v>1.5</v>
      </c>
    </row>
    <row r="59" spans="1:7" ht="12.75">
      <c r="A59" t="s">
        <v>125</v>
      </c>
      <c r="B59" t="s">
        <v>591</v>
      </c>
      <c r="C59" t="s">
        <v>126</v>
      </c>
      <c r="E59" s="433">
        <v>43112</v>
      </c>
      <c r="F59" t="s">
        <v>99</v>
      </c>
      <c r="G59" s="514">
        <v>1.5</v>
      </c>
    </row>
    <row r="60" spans="1:7" ht="12.75">
      <c r="A60" t="s">
        <v>127</v>
      </c>
      <c r="B60" t="s">
        <v>591</v>
      </c>
      <c r="C60" t="s">
        <v>128</v>
      </c>
      <c r="E60" s="433">
        <v>43112</v>
      </c>
      <c r="F60" t="s">
        <v>99</v>
      </c>
      <c r="G60" s="514">
        <v>1.6</v>
      </c>
    </row>
    <row r="61" spans="1:7" ht="12.75">
      <c r="A61" t="s">
        <v>129</v>
      </c>
      <c r="B61" t="s">
        <v>591</v>
      </c>
      <c r="C61" t="s">
        <v>128</v>
      </c>
      <c r="E61" s="433">
        <v>43115</v>
      </c>
      <c r="F61" t="s">
        <v>99</v>
      </c>
      <c r="G61" s="514">
        <v>1.6</v>
      </c>
    </row>
    <row r="62" spans="1:7" ht="12.75">
      <c r="A62" t="s">
        <v>130</v>
      </c>
      <c r="B62" t="s">
        <v>591</v>
      </c>
      <c r="C62" t="s">
        <v>128</v>
      </c>
      <c r="E62" s="433">
        <v>43115</v>
      </c>
      <c r="F62" t="s">
        <v>99</v>
      </c>
      <c r="G62" s="514">
        <v>1.6</v>
      </c>
    </row>
    <row r="63" spans="1:7" ht="12.75">
      <c r="A63" t="s">
        <v>170</v>
      </c>
      <c r="B63" t="s">
        <v>591</v>
      </c>
      <c r="C63" t="s">
        <v>171</v>
      </c>
      <c r="E63" s="433">
        <v>43164</v>
      </c>
      <c r="F63" t="s">
        <v>99</v>
      </c>
      <c r="G63" s="514">
        <v>1.6</v>
      </c>
    </row>
    <row r="64" spans="1:7" ht="12.75">
      <c r="A64" t="s">
        <v>200</v>
      </c>
      <c r="B64" t="s">
        <v>591</v>
      </c>
      <c r="C64" s="479" t="s">
        <v>201</v>
      </c>
      <c r="E64" s="433">
        <v>43514</v>
      </c>
      <c r="F64" t="s">
        <v>99</v>
      </c>
      <c r="G64" s="514">
        <v>1.6</v>
      </c>
    </row>
    <row r="65" spans="1:7" ht="12.75">
      <c r="A65" t="s">
        <v>200</v>
      </c>
      <c r="B65" t="s">
        <v>954</v>
      </c>
      <c r="C65" t="s">
        <v>202</v>
      </c>
      <c r="E65" s="433">
        <v>43514</v>
      </c>
      <c r="F65" t="s">
        <v>99</v>
      </c>
      <c r="G65" s="514">
        <v>1.6</v>
      </c>
    </row>
    <row r="66" spans="1:7" ht="12.75">
      <c r="A66" s="726" t="s">
        <v>1348</v>
      </c>
      <c r="B66" t="s">
        <v>203</v>
      </c>
      <c r="C66" s="726" t="s">
        <v>1347</v>
      </c>
      <c r="E66" s="433"/>
      <c r="F66" s="726" t="s">
        <v>1053</v>
      </c>
      <c r="G66" s="514">
        <v>1.6</v>
      </c>
    </row>
    <row r="67" spans="1:7" ht="12.75">
      <c r="A67" s="726" t="s">
        <v>1349</v>
      </c>
      <c r="B67" s="726" t="s">
        <v>591</v>
      </c>
      <c r="C67" s="726" t="s">
        <v>1350</v>
      </c>
      <c r="E67" s="433">
        <v>43539</v>
      </c>
      <c r="F67" t="s">
        <v>99</v>
      </c>
      <c r="G67" s="514">
        <v>1.6</v>
      </c>
    </row>
    <row r="68" spans="1:7" ht="12.75">
      <c r="A68" s="726" t="s">
        <v>1356</v>
      </c>
      <c r="B68" s="726" t="s">
        <v>591</v>
      </c>
      <c r="C68" s="726" t="s">
        <v>1357</v>
      </c>
      <c r="E68" s="433">
        <v>43539</v>
      </c>
      <c r="F68" t="s">
        <v>99</v>
      </c>
      <c r="G68" s="514">
        <v>1.6</v>
      </c>
    </row>
  </sheetData>
  <sheetProtection password="98F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0"/>
  <sheetViews>
    <sheetView zoomScalePageLayoutView="0" workbookViewId="0" topLeftCell="A1">
      <selection activeCell="A1" sqref="A1"/>
    </sheetView>
  </sheetViews>
  <sheetFormatPr defaultColWidth="42.14062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621</v>
      </c>
    </row>
    <row r="2" ht="12.75">
      <c r="A2" s="105">
        <f>VLOOKUP(README!C9,README!N9:O11,2)</f>
        <v>1</v>
      </c>
    </row>
    <row r="3" spans="2:4" ht="12.75">
      <c r="B3" s="103" t="s">
        <v>622</v>
      </c>
      <c r="C3" s="103" t="s">
        <v>623</v>
      </c>
      <c r="D3" s="103" t="s">
        <v>624</v>
      </c>
    </row>
    <row r="4" spans="1:4" s="103" customFormat="1" ht="12.75">
      <c r="A4" s="103" t="str">
        <f>IF($A$2=1,B4,IF($A$2=2,C4,IF($A$2=3,D4,"")))</f>
        <v>Anleitung</v>
      </c>
      <c r="B4" s="103" t="s">
        <v>542</v>
      </c>
      <c r="C4" s="103" t="s">
        <v>611</v>
      </c>
      <c r="D4" s="438" t="s">
        <v>966</v>
      </c>
    </row>
    <row r="5" spans="1:4" ht="12.75">
      <c r="A5" s="104" t="str">
        <f aca="true" t="shared" si="0" ref="A5:A70">IF($A$2=1,B5,IF($A$2=2,C5,IF($A$2=3,D5,"")))</f>
        <v>GMF</v>
      </c>
      <c r="B5" s="6" t="s">
        <v>779</v>
      </c>
      <c r="C5" s="6" t="s">
        <v>710</v>
      </c>
      <c r="D5" s="439" t="s">
        <v>967</v>
      </c>
    </row>
    <row r="6" spans="1:4" ht="12.75">
      <c r="A6" s="104" t="str">
        <f t="shared" si="0"/>
        <v>Version: 1.6</v>
      </c>
      <c r="B6" s="104" t="s">
        <v>102</v>
      </c>
      <c r="C6" s="104" t="s">
        <v>103</v>
      </c>
      <c r="D6" s="439" t="s">
        <v>104</v>
      </c>
    </row>
    <row r="7" spans="1:4" ht="12.75">
      <c r="A7" s="104" t="str">
        <f t="shared" si="0"/>
        <v>dazugehörende Suisse-Bilanz Aufl. 1.15</v>
      </c>
      <c r="B7" s="104" t="s">
        <v>105</v>
      </c>
      <c r="C7" s="104" t="s">
        <v>106</v>
      </c>
      <c r="D7" s="104" t="s">
        <v>107</v>
      </c>
    </row>
    <row r="8" spans="1:4" ht="12.75">
      <c r="A8" s="104">
        <f t="shared" si="0"/>
        <v>0</v>
      </c>
      <c r="D8" s="646"/>
    </row>
    <row r="9" spans="1:4" ht="12.75">
      <c r="A9" s="104" t="str">
        <f t="shared" si="0"/>
        <v>Sprache:</v>
      </c>
      <c r="B9" s="6" t="s">
        <v>625</v>
      </c>
      <c r="C9" s="6" t="s">
        <v>626</v>
      </c>
      <c r="D9" s="439" t="s">
        <v>627</v>
      </c>
    </row>
    <row r="10" spans="1:4" ht="12.75">
      <c r="A10" s="104" t="str">
        <f t="shared" si="0"/>
        <v>Anleitung</v>
      </c>
      <c r="B10" s="6" t="s">
        <v>542</v>
      </c>
      <c r="C10" s="6" t="s">
        <v>611</v>
      </c>
      <c r="D10" s="439" t="s">
        <v>966</v>
      </c>
    </row>
    <row r="11" spans="1:4" ht="12.75">
      <c r="A11" s="104" t="str">
        <f t="shared" si="0"/>
        <v>grüne Zellen:</v>
      </c>
      <c r="B11" s="6" t="s">
        <v>548</v>
      </c>
      <c r="C11" s="6" t="s">
        <v>612</v>
      </c>
      <c r="D11" s="439" t="s">
        <v>1176</v>
      </c>
    </row>
    <row r="12" spans="1:4" ht="12.75">
      <c r="A12" s="104" t="str">
        <f t="shared" si="0"/>
        <v>gelbe Zeilen:</v>
      </c>
      <c r="B12" s="6" t="s">
        <v>549</v>
      </c>
      <c r="C12" s="6" t="s">
        <v>613</v>
      </c>
      <c r="D12" s="439" t="s">
        <v>1177</v>
      </c>
    </row>
    <row r="13" spans="1:4" ht="12.75">
      <c r="A13" s="104" t="str">
        <f t="shared" si="0"/>
        <v>weisse Zellen: </v>
      </c>
      <c r="B13" s="6" t="s">
        <v>550</v>
      </c>
      <c r="C13" s="6" t="s">
        <v>425</v>
      </c>
      <c r="D13" s="439" t="s">
        <v>1178</v>
      </c>
    </row>
    <row r="14" spans="1:4" ht="12.75">
      <c r="A14" s="104" t="str">
        <f t="shared" si="0"/>
        <v>Auswahllisten</v>
      </c>
      <c r="B14" s="6" t="s">
        <v>427</v>
      </c>
      <c r="C14" s="6" t="s">
        <v>426</v>
      </c>
      <c r="D14" s="439" t="s">
        <v>968</v>
      </c>
    </row>
    <row r="15" spans="1:4" ht="12.75">
      <c r="A15" s="104" t="str">
        <f t="shared" si="0"/>
        <v>zur Dateneingabe</v>
      </c>
      <c r="B15" s="6" t="s">
        <v>610</v>
      </c>
      <c r="C15" s="6" t="s">
        <v>428</v>
      </c>
      <c r="D15" s="439" t="s">
        <v>969</v>
      </c>
    </row>
    <row r="16" spans="1:4" ht="12.75">
      <c r="A16" s="104" t="str">
        <f t="shared" si="0"/>
        <v>gesperrte Zellen</v>
      </c>
      <c r="B16" s="6" t="s">
        <v>551</v>
      </c>
      <c r="C16" s="6" t="s">
        <v>429</v>
      </c>
      <c r="D16" s="439" t="s">
        <v>970</v>
      </c>
    </row>
    <row r="17" spans="1:4" ht="12.75">
      <c r="A17" s="104" t="str">
        <f t="shared" si="0"/>
        <v>Vorgehen:</v>
      </c>
      <c r="B17" s="6" t="s">
        <v>552</v>
      </c>
      <c r="C17" s="104" t="s">
        <v>852</v>
      </c>
      <c r="D17" s="439" t="s">
        <v>1182</v>
      </c>
    </row>
    <row r="18" spans="1:4" ht="12.75">
      <c r="A18" s="104" t="str">
        <f t="shared" si="0"/>
        <v>Grundsatz: Übereinstimmung mit Suisse-Bilanz muss sein</v>
      </c>
      <c r="B18" s="6" t="s">
        <v>564</v>
      </c>
      <c r="C18" s="104" t="s">
        <v>853</v>
      </c>
      <c r="D18" s="439" t="s">
        <v>971</v>
      </c>
    </row>
    <row r="19" spans="1:4" ht="12.75">
      <c r="A19" s="104" t="str">
        <f t="shared" si="0"/>
        <v>1. Betriebsangaben ausfüllen, insbesondere die "Gebietszuteilung"</v>
      </c>
      <c r="B19" s="6" t="s">
        <v>1289</v>
      </c>
      <c r="C19" s="104" t="s">
        <v>1290</v>
      </c>
      <c r="D19" s="439" t="s">
        <v>1291</v>
      </c>
    </row>
    <row r="20" spans="1:4" ht="12.75">
      <c r="A20" s="104" t="str">
        <f t="shared" si="0"/>
        <v>2. Teil A: Grund- und Kraftfutterverzehr</v>
      </c>
      <c r="B20" s="104" t="s">
        <v>1305</v>
      </c>
      <c r="C20" s="104" t="s">
        <v>1306</v>
      </c>
      <c r="D20" s="439" t="s">
        <v>1307</v>
      </c>
    </row>
    <row r="21" spans="1:4" ht="12.75">
      <c r="A21" s="104" t="str">
        <f t="shared" si="0"/>
        <v>    - Alle Tierarten mit Grundfutterverzehr erfassen</v>
      </c>
      <c r="B21" s="144" t="s">
        <v>1322</v>
      </c>
      <c r="C21" s="104" t="s">
        <v>1337</v>
      </c>
      <c r="D21" s="104" t="s">
        <v>1099</v>
      </c>
    </row>
    <row r="22" spans="1:4" ht="12.75">
      <c r="A22" s="104" t="str">
        <f t="shared" si="0"/>
        <v>    - Pro Tierkategorie die Gesamtmenge Kraftfutter, die auf</v>
      </c>
      <c r="B22" s="6" t="s">
        <v>1251</v>
      </c>
      <c r="C22" s="104" t="s">
        <v>1248</v>
      </c>
      <c r="D22" s="104" t="s">
        <v>1249</v>
      </c>
    </row>
    <row r="23" spans="1:4" ht="12.75">
      <c r="A23" s="104" t="str">
        <f t="shared" si="0"/>
        <v>      dem Ganzjahresbetrieb verfüttert wird, erfassen.</v>
      </c>
      <c r="B23" s="89" t="s">
        <v>1253</v>
      </c>
      <c r="C23" s="104" t="s">
        <v>1252</v>
      </c>
      <c r="D23" s="104" t="s">
        <v>1250</v>
      </c>
    </row>
    <row r="24" spans="1:4" ht="12.75">
      <c r="A24" s="104" t="str">
        <f t="shared" si="0"/>
        <v>    - Sömmerung: bei den Tierzahlen müssen die Anzahl gesömmerte Tiere (positiv) </v>
      </c>
      <c r="B24" s="569" t="s">
        <v>10</v>
      </c>
      <c r="C24" s="572" t="s">
        <v>31</v>
      </c>
      <c r="D24" s="572" t="s">
        <v>1100</v>
      </c>
    </row>
    <row r="25" spans="1:4" ht="12.75">
      <c r="A25" s="104" t="str">
        <f t="shared" si="0"/>
        <v>      und die Tage Sömmerung separat erfasst werden.</v>
      </c>
      <c r="B25" s="569" t="s">
        <v>12</v>
      </c>
      <c r="C25" s="104" t="s">
        <v>11</v>
      </c>
      <c r="D25" s="104" t="s">
        <v>1101</v>
      </c>
    </row>
    <row r="26" spans="1:4" ht="12.75">
      <c r="A26" s="104" t="str">
        <f t="shared" si="0"/>
        <v>    - Falls die Sömmerung erfasst wird, muss die effektiv verfütterte Menge an</v>
      </c>
      <c r="B26" s="104" t="s">
        <v>499</v>
      </c>
      <c r="C26" s="104" t="s">
        <v>502</v>
      </c>
      <c r="D26" s="528" t="s">
        <v>122</v>
      </c>
    </row>
    <row r="27" spans="1:4" ht="12.75">
      <c r="A27" s="104" t="str">
        <f t="shared" si="0"/>
        <v>      Kraftfutter zwingend in der Futterbilanz deklariert werden. </v>
      </c>
      <c r="B27" s="104" t="s">
        <v>500</v>
      </c>
      <c r="C27" s="104" t="s">
        <v>503</v>
      </c>
      <c r="D27" s="528" t="s">
        <v>123</v>
      </c>
    </row>
    <row r="28" spans="1:4" ht="12.75">
      <c r="A28" s="104" t="str">
        <f t="shared" si="0"/>
        <v>    - KF-Verzehr während Sömmerung nur möglich für gemolkene Tiere folgender Kategorien: Milchkühe,</v>
      </c>
      <c r="B28" s="104" t="s">
        <v>26</v>
      </c>
      <c r="C28" s="104" t="s">
        <v>34</v>
      </c>
      <c r="D28" s="104" t="s">
        <v>1102</v>
      </c>
    </row>
    <row r="29" spans="1:4" ht="12.75">
      <c r="A29" s="104" t="str">
        <f t="shared" si="0"/>
        <v>      Milchschafe und Milchziegen. Maximal 1 kg KF/Kuh/d, 0.25 kg/Schaf/d, 0.2kg/Ziege/d</v>
      </c>
      <c r="B29" s="104" t="s">
        <v>501</v>
      </c>
      <c r="C29" s="104" t="s">
        <v>504</v>
      </c>
      <c r="D29" s="104" t="s">
        <v>505</v>
      </c>
    </row>
    <row r="30" spans="1:4" ht="12.75">
      <c r="A30" s="104" t="str">
        <f t="shared" si="0"/>
        <v>    - Für Grund- und Kraftfutter während der Sömmerung gelten ebenfalls </v>
      </c>
      <c r="B30" s="473" t="s">
        <v>29</v>
      </c>
      <c r="C30" s="6" t="s">
        <v>32</v>
      </c>
      <c r="D30" s="104" t="s">
        <v>1103</v>
      </c>
    </row>
    <row r="31" spans="1:4" ht="12.75">
      <c r="A31" s="104" t="str">
        <f t="shared" si="0"/>
        <v>      die Definitionen gemäss Anhang 5 DZV.</v>
      </c>
      <c r="B31" s="473" t="s">
        <v>30</v>
      </c>
      <c r="C31" s="6" t="s">
        <v>33</v>
      </c>
      <c r="D31" s="104" t="s">
        <v>1104</v>
      </c>
    </row>
    <row r="32" spans="1:4" ht="12.75">
      <c r="A32" s="104" t="str">
        <f t="shared" si="0"/>
        <v>3. Teil B: Grundfutterproduktion</v>
      </c>
      <c r="B32" s="6" t="s">
        <v>1339</v>
      </c>
      <c r="C32" s="104" t="s">
        <v>1340</v>
      </c>
      <c r="D32" s="439" t="s">
        <v>1343</v>
      </c>
    </row>
    <row r="33" spans="1:4" ht="12.75">
      <c r="A33" s="104" t="str">
        <f t="shared" si="0"/>
        <v>    - Flächen und Erträge erfassen</v>
      </c>
      <c r="B33" s="6" t="s">
        <v>1338</v>
      </c>
      <c r="C33" s="104" t="s">
        <v>1341</v>
      </c>
      <c r="D33" s="439" t="s">
        <v>1342</v>
      </c>
    </row>
    <row r="34" spans="1:4" ht="12.75">
      <c r="A34" s="104" t="str">
        <f t="shared" si="0"/>
        <v>    - Für Wiesen und Weiden gelten Maximalwerte</v>
      </c>
      <c r="B34" s="6" t="s">
        <v>1344</v>
      </c>
      <c r="C34" s="104" t="s">
        <v>1345</v>
      </c>
      <c r="D34" s="439" t="s">
        <v>1346</v>
      </c>
    </row>
    <row r="35" spans="1:4" ht="12.75">
      <c r="A35" s="104" t="str">
        <f t="shared" si="0"/>
        <v>    - Höhere Erträge nur mit Ertragsgutachten möglich</v>
      </c>
      <c r="B35" s="6" t="s">
        <v>0</v>
      </c>
      <c r="C35" s="104" t="s">
        <v>1</v>
      </c>
      <c r="D35" s="439" t="s">
        <v>2</v>
      </c>
    </row>
    <row r="36" spans="1:4" ht="12.75">
      <c r="A36" s="104" t="str">
        <f t="shared" si="0"/>
        <v>    - Erträge Zwischenkulturen max. 25 dt TS</v>
      </c>
      <c r="B36" s="6" t="s">
        <v>3</v>
      </c>
      <c r="C36" s="104" t="s">
        <v>4</v>
      </c>
      <c r="D36" s="439" t="s">
        <v>5</v>
      </c>
    </row>
    <row r="37" spans="1:4" ht="12.75">
      <c r="A37" s="104" t="str">
        <f t="shared" si="0"/>
        <v>4. Angaben für die Berechnung des Mindesttierbesatzes</v>
      </c>
      <c r="B37" s="6" t="s">
        <v>8</v>
      </c>
      <c r="C37" s="104" t="s">
        <v>36</v>
      </c>
      <c r="D37" s="439" t="s">
        <v>41</v>
      </c>
    </row>
    <row r="38" spans="1:4" ht="12.75">
      <c r="A38" s="104" t="str">
        <f t="shared" si="0"/>
        <v>    - Pro Zone die totale Grünfläche (Dauergrünfläche plus Kunstwiesen)  </v>
      </c>
      <c r="B38" s="6" t="s">
        <v>6</v>
      </c>
      <c r="C38" s="104" t="s">
        <v>37</v>
      </c>
      <c r="D38" s="439" t="s">
        <v>39</v>
      </c>
    </row>
    <row r="39" spans="1:4" ht="12.75">
      <c r="A39" s="104" t="str">
        <f t="shared" si="0"/>
        <v>      abzüglich Biodiversitätsförderflächen (BFF) erfassen.</v>
      </c>
      <c r="B39" s="6" t="s">
        <v>7</v>
      </c>
      <c r="C39" s="104" t="s">
        <v>38</v>
      </c>
      <c r="D39" s="439" t="s">
        <v>40</v>
      </c>
    </row>
    <row r="40" spans="1:4" ht="12.75">
      <c r="A40" s="104" t="str">
        <f t="shared" si="0"/>
        <v>    - Pro Zone die totale Biodiversitätsförderfläche erfassen</v>
      </c>
      <c r="B40" s="6" t="s">
        <v>340</v>
      </c>
      <c r="C40" s="104" t="s">
        <v>42</v>
      </c>
      <c r="D40" s="439" t="s">
        <v>339</v>
      </c>
    </row>
    <row r="41" spans="1:4" ht="12.75">
      <c r="A41" s="104" t="str">
        <f t="shared" si="0"/>
        <v>4. Teil C: Zu- und Wegfuhr Grundfutter erfassen</v>
      </c>
      <c r="B41" s="6" t="s">
        <v>20</v>
      </c>
      <c r="C41" s="104" t="s">
        <v>22</v>
      </c>
      <c r="D41" s="439" t="s">
        <v>24</v>
      </c>
    </row>
    <row r="42" spans="1:4" ht="12.75">
      <c r="A42" s="104" t="str">
        <f t="shared" si="0"/>
        <v>    - Code wählen: Zu-, Verkauf, GF produziert ausserhalb der Futterfläche</v>
      </c>
      <c r="B42" s="6" t="s">
        <v>341</v>
      </c>
      <c r="C42" s="104" t="s">
        <v>345</v>
      </c>
      <c r="D42" s="439" t="s">
        <v>349</v>
      </c>
    </row>
    <row r="43" spans="1:4" ht="12.75">
      <c r="A43" s="104" t="str">
        <f t="shared" si="0"/>
        <v>    - Achtung: Grundfutterbilanz muss ausgeglichen sein: Vergleich von </v>
      </c>
      <c r="B43" s="6" t="s">
        <v>342</v>
      </c>
      <c r="C43" s="104" t="s">
        <v>346</v>
      </c>
      <c r="D43" s="439" t="s">
        <v>350</v>
      </c>
    </row>
    <row r="44" spans="1:4" ht="12.75">
      <c r="A44" s="104" t="str">
        <f t="shared" si="0"/>
        <v>      "B1: Grundfutterproduktion total" und "Total auf der Futterfläche </v>
      </c>
      <c r="B44" s="6" t="s">
        <v>343</v>
      </c>
      <c r="C44" s="104" t="s">
        <v>347</v>
      </c>
      <c r="D44" s="439" t="s">
        <v>351</v>
      </c>
    </row>
    <row r="45" spans="1:4" ht="12.75">
      <c r="A45" s="104" t="str">
        <f t="shared" si="0"/>
        <v>      zu produzierendes Grundfutter (GFprod)"</v>
      </c>
      <c r="B45" s="6" t="s">
        <v>344</v>
      </c>
      <c r="C45" s="104" t="s">
        <v>348</v>
      </c>
      <c r="D45" s="439" t="s">
        <v>352</v>
      </c>
    </row>
    <row r="46" spans="1:4" ht="12.75">
      <c r="A46" s="104" t="str">
        <f t="shared" si="0"/>
        <v>5. Teil D: Bilanz </v>
      </c>
      <c r="B46" s="6" t="s">
        <v>21</v>
      </c>
      <c r="C46" s="104" t="s">
        <v>23</v>
      </c>
      <c r="D46" s="440" t="s">
        <v>25</v>
      </c>
    </row>
    <row r="47" spans="1:4" ht="12.75">
      <c r="A47" s="104" t="str">
        <f t="shared" si="0"/>
        <v>    - Abhängig von der Gebietszuteilung wird angezeigt, </v>
      </c>
      <c r="B47" s="6" t="s">
        <v>353</v>
      </c>
      <c r="C47" s="104" t="s">
        <v>357</v>
      </c>
      <c r="D47" s="440" t="s">
        <v>361</v>
      </c>
    </row>
    <row r="48" spans="1:4" ht="12.75">
      <c r="A48" s="104" t="str">
        <f t="shared" si="0"/>
        <v>      ob die Mindestanteile an der Ration erfüllt sind oder nicht.</v>
      </c>
      <c r="B48" s="6" t="s">
        <v>354</v>
      </c>
      <c r="C48" s="104" t="s">
        <v>358</v>
      </c>
      <c r="D48" s="440" t="s">
        <v>362</v>
      </c>
    </row>
    <row r="49" spans="1:4" ht="12.75">
      <c r="A49" s="104" t="str">
        <f t="shared" si="0"/>
        <v>      Grün=Erfüllt</v>
      </c>
      <c r="B49" s="6" t="s">
        <v>355</v>
      </c>
      <c r="C49" s="104" t="s">
        <v>359</v>
      </c>
      <c r="D49" s="439" t="s">
        <v>363</v>
      </c>
    </row>
    <row r="50" spans="1:4" ht="12.75">
      <c r="A50" s="104" t="str">
        <f t="shared" si="0"/>
        <v>      Rot=Nicht erfüllt</v>
      </c>
      <c r="B50" s="6" t="s">
        <v>356</v>
      </c>
      <c r="C50" s="104" t="s">
        <v>360</v>
      </c>
      <c r="D50" s="439" t="s">
        <v>364</v>
      </c>
    </row>
    <row r="51" spans="1:4" ht="12.75">
      <c r="A51" s="104" t="str">
        <f t="shared" si="0"/>
        <v>Hinweis:</v>
      </c>
      <c r="B51" s="6" t="s">
        <v>832</v>
      </c>
      <c r="C51" s="104" t="s">
        <v>854</v>
      </c>
      <c r="D51" s="439" t="s">
        <v>972</v>
      </c>
    </row>
    <row r="52" spans="1:4" s="103" customFormat="1" ht="12.75">
      <c r="A52" s="103" t="str">
        <f t="shared" si="0"/>
        <v>Bilanz                                      </v>
      </c>
      <c r="B52" s="103" t="s">
        <v>692</v>
      </c>
      <c r="C52" s="103" t="s">
        <v>532</v>
      </c>
      <c r="D52" s="478" t="s">
        <v>1158</v>
      </c>
    </row>
    <row r="53" spans="1:4" ht="12.75">
      <c r="A53" s="104" t="str">
        <f t="shared" si="0"/>
        <v>Futterbilanz für die graslandbasierte</v>
      </c>
      <c r="B53" s="6" t="s">
        <v>374</v>
      </c>
      <c r="C53" s="6" t="s">
        <v>540</v>
      </c>
      <c r="D53" s="439" t="s">
        <v>973</v>
      </c>
    </row>
    <row r="54" spans="1:4" ht="12.75">
      <c r="A54" s="104" t="str">
        <f t="shared" si="0"/>
        <v>Milch- und Fleischproduktion</v>
      </c>
      <c r="B54" s="6" t="s">
        <v>375</v>
      </c>
      <c r="C54" s="6" t="s">
        <v>541</v>
      </c>
      <c r="D54" s="439" t="s">
        <v>974</v>
      </c>
    </row>
    <row r="55" spans="1:4" ht="12.75">
      <c r="A55" s="104" t="str">
        <f t="shared" si="0"/>
        <v>Betriebsnummer</v>
      </c>
      <c r="B55" s="6" t="s">
        <v>760</v>
      </c>
      <c r="C55" s="6" t="s">
        <v>562</v>
      </c>
      <c r="D55" s="439" t="s">
        <v>975</v>
      </c>
    </row>
    <row r="56" spans="1:4" ht="12.75">
      <c r="A56" s="104" t="str">
        <f t="shared" si="0"/>
        <v>Erntejahr</v>
      </c>
      <c r="B56" s="6" t="s">
        <v>761</v>
      </c>
      <c r="C56" s="6" t="s">
        <v>762</v>
      </c>
      <c r="D56" s="439" t="s">
        <v>976</v>
      </c>
    </row>
    <row r="57" spans="1:4" ht="12.75">
      <c r="A57" s="104" t="str">
        <f t="shared" si="0"/>
        <v>Name / Vorname</v>
      </c>
      <c r="B57" s="6" t="s">
        <v>763</v>
      </c>
      <c r="C57" s="6" t="s">
        <v>855</v>
      </c>
      <c r="D57" s="439" t="s">
        <v>977</v>
      </c>
    </row>
    <row r="58" spans="1:4" ht="12.75">
      <c r="A58" s="104" t="str">
        <f t="shared" si="0"/>
        <v>Variante</v>
      </c>
      <c r="B58" s="6" t="s">
        <v>595</v>
      </c>
      <c r="C58" s="6" t="s">
        <v>595</v>
      </c>
      <c r="D58" s="439" t="s">
        <v>978</v>
      </c>
    </row>
    <row r="59" spans="1:4" ht="12.75">
      <c r="A59" s="104" t="str">
        <f t="shared" si="0"/>
        <v>Strasse / Hof</v>
      </c>
      <c r="B59" s="6" t="s">
        <v>764</v>
      </c>
      <c r="C59" s="6" t="s">
        <v>856</v>
      </c>
      <c r="D59" s="439" t="s">
        <v>979</v>
      </c>
    </row>
    <row r="60" spans="1:4" ht="12.75">
      <c r="A60" s="104" t="str">
        <f t="shared" si="0"/>
        <v>Kanton</v>
      </c>
      <c r="B60" s="6" t="s">
        <v>768</v>
      </c>
      <c r="C60" s="6" t="s">
        <v>769</v>
      </c>
      <c r="D60" s="439" t="s">
        <v>980</v>
      </c>
    </row>
    <row r="61" spans="1:4" ht="12.75">
      <c r="A61" s="104" t="str">
        <f t="shared" si="0"/>
        <v>PLZ / Ort</v>
      </c>
      <c r="B61" s="6" t="s">
        <v>765</v>
      </c>
      <c r="C61" s="6" t="s">
        <v>857</v>
      </c>
      <c r="D61" s="439" t="s">
        <v>981</v>
      </c>
    </row>
    <row r="62" spans="1:4" ht="12.75">
      <c r="A62" s="104" t="str">
        <f t="shared" si="0"/>
        <v>Fax / E-Mail</v>
      </c>
      <c r="B62" s="6" t="s">
        <v>770</v>
      </c>
      <c r="C62" s="6" t="s">
        <v>858</v>
      </c>
      <c r="D62" s="439" t="s">
        <v>982</v>
      </c>
    </row>
    <row r="63" spans="1:4" ht="12.75">
      <c r="A63" s="104" t="str">
        <f t="shared" si="0"/>
        <v>Telefon</v>
      </c>
      <c r="B63" s="6" t="s">
        <v>766</v>
      </c>
      <c r="C63" s="6" t="s">
        <v>767</v>
      </c>
      <c r="D63" s="439" t="s">
        <v>983</v>
      </c>
    </row>
    <row r="64" spans="1:4" ht="12.75">
      <c r="A64" s="104" t="str">
        <f t="shared" si="0"/>
        <v>Handy</v>
      </c>
      <c r="B64" s="6" t="s">
        <v>718</v>
      </c>
      <c r="C64" s="6" t="s">
        <v>859</v>
      </c>
      <c r="D64" s="439" t="s">
        <v>984</v>
      </c>
    </row>
    <row r="65" spans="1:4" ht="12.75">
      <c r="A65" s="104" t="str">
        <f t="shared" si="0"/>
        <v>Landw. Nutzfläche</v>
      </c>
      <c r="B65" s="6" t="s">
        <v>582</v>
      </c>
      <c r="C65" s="6" t="s">
        <v>563</v>
      </c>
      <c r="D65" s="439" t="s">
        <v>1190</v>
      </c>
    </row>
    <row r="66" spans="1:4" ht="12.75">
      <c r="A66" s="104" t="str">
        <f t="shared" si="0"/>
        <v>Höhe über Meer</v>
      </c>
      <c r="B66" s="6" t="s">
        <v>576</v>
      </c>
      <c r="C66" s="6" t="s">
        <v>577</v>
      </c>
      <c r="D66" s="439" t="s">
        <v>985</v>
      </c>
    </row>
    <row r="67" spans="1:4" ht="12.75">
      <c r="A67" s="104" t="str">
        <f t="shared" si="0"/>
        <v>Gebietszuteilung</v>
      </c>
      <c r="B67" s="6" t="s">
        <v>1240</v>
      </c>
      <c r="C67" s="473" t="s">
        <v>1292</v>
      </c>
      <c r="D67" s="645" t="s">
        <v>1293</v>
      </c>
    </row>
    <row r="68" spans="1:4" ht="12.75">
      <c r="A68" s="104" t="str">
        <f t="shared" si="0"/>
        <v>Talgebiet</v>
      </c>
      <c r="B68" s="6" t="s">
        <v>845</v>
      </c>
      <c r="C68" s="473" t="s">
        <v>1276</v>
      </c>
      <c r="D68" s="645" t="s">
        <v>1230</v>
      </c>
    </row>
    <row r="69" spans="1:4" ht="12.75">
      <c r="A69" s="104" t="str">
        <f t="shared" si="0"/>
        <v>Berggebiet</v>
      </c>
      <c r="B69" s="6" t="s">
        <v>846</v>
      </c>
      <c r="C69" s="473" t="s">
        <v>849</v>
      </c>
      <c r="D69" s="645" t="s">
        <v>1229</v>
      </c>
    </row>
    <row r="70" spans="1:4" ht="12.75">
      <c r="A70" s="104" t="str">
        <f t="shared" si="0"/>
        <v>Produktionsform</v>
      </c>
      <c r="B70" s="6" t="s">
        <v>578</v>
      </c>
      <c r="C70" s="6" t="s">
        <v>579</v>
      </c>
      <c r="D70" s="439" t="s">
        <v>992</v>
      </c>
    </row>
    <row r="71" spans="1:4" ht="12.75">
      <c r="A71" s="104" t="str">
        <f aca="true" t="shared" si="1" ref="A71:A81">IF($A$2=1,B71,IF($A$2=2,C71,IF($A$2=3,D71,"")))</f>
        <v>Ökonachweis: nicht erfüllt</v>
      </c>
      <c r="B71" s="6" t="s">
        <v>430</v>
      </c>
      <c r="C71" s="6" t="s">
        <v>431</v>
      </c>
      <c r="D71" s="439" t="s">
        <v>993</v>
      </c>
    </row>
    <row r="72" spans="1:4" ht="12.75">
      <c r="A72" s="104" t="str">
        <f t="shared" si="1"/>
        <v>Ökonachweis: erfüllt</v>
      </c>
      <c r="B72" s="6" t="s">
        <v>432</v>
      </c>
      <c r="C72" s="6" t="s">
        <v>433</v>
      </c>
      <c r="D72" s="439" t="s">
        <v>994</v>
      </c>
    </row>
    <row r="73" spans="1:4" ht="12.75">
      <c r="A73" s="104" t="str">
        <f t="shared" si="1"/>
        <v>Biologischer Landbau</v>
      </c>
      <c r="B73" s="6" t="s">
        <v>519</v>
      </c>
      <c r="C73" s="6" t="s">
        <v>520</v>
      </c>
      <c r="D73" s="439" t="s">
        <v>995</v>
      </c>
    </row>
    <row r="74" spans="1:4" ht="12.75">
      <c r="A74" s="104" t="str">
        <f t="shared" si="1"/>
        <v>Gemeinschaften</v>
      </c>
      <c r="B74" s="6" t="s">
        <v>771</v>
      </c>
      <c r="C74" s="6" t="s">
        <v>581</v>
      </c>
      <c r="D74" s="439" t="s">
        <v>996</v>
      </c>
    </row>
    <row r="75" spans="1:4" ht="12.75">
      <c r="A75" s="104" t="str">
        <f t="shared" si="1"/>
        <v>keine</v>
      </c>
      <c r="B75" s="6" t="s">
        <v>560</v>
      </c>
      <c r="C75" s="6" t="s">
        <v>561</v>
      </c>
      <c r="D75" s="439" t="s">
        <v>997</v>
      </c>
    </row>
    <row r="76" spans="1:4" ht="12.75">
      <c r="A76" s="104" t="str">
        <f t="shared" si="1"/>
        <v>Gemeinschaft / ein Betrieb</v>
      </c>
      <c r="B76" s="6" t="s">
        <v>568</v>
      </c>
      <c r="C76" s="6" t="s">
        <v>569</v>
      </c>
      <c r="D76" s="439" t="s">
        <v>998</v>
      </c>
    </row>
    <row r="77" spans="1:4" ht="12.75">
      <c r="A77" s="104" t="str">
        <f t="shared" si="1"/>
        <v>mit 2 Betrieben</v>
      </c>
      <c r="B77" s="6" t="s">
        <v>570</v>
      </c>
      <c r="C77" s="6" t="s">
        <v>571</v>
      </c>
      <c r="D77" s="439" t="s">
        <v>999</v>
      </c>
    </row>
    <row r="78" spans="1:4" ht="12.75">
      <c r="A78" s="104" t="str">
        <f t="shared" si="1"/>
        <v>mit 3 Betrieben</v>
      </c>
      <c r="B78" s="6" t="s">
        <v>572</v>
      </c>
      <c r="C78" s="6" t="s">
        <v>397</v>
      </c>
      <c r="D78" s="439" t="s">
        <v>1000</v>
      </c>
    </row>
    <row r="79" spans="1:4" ht="12.75">
      <c r="A79" s="104" t="str">
        <f t="shared" si="1"/>
        <v>mit 4 Betrieben</v>
      </c>
      <c r="B79" s="6" t="s">
        <v>398</v>
      </c>
      <c r="C79" s="6" t="s">
        <v>399</v>
      </c>
      <c r="D79" s="439" t="s">
        <v>1001</v>
      </c>
    </row>
    <row r="80" spans="1:4" ht="12.75">
      <c r="A80" s="104" t="str">
        <f t="shared" si="1"/>
        <v>Berater / Beraterin</v>
      </c>
      <c r="B80" s="6" t="s">
        <v>727</v>
      </c>
      <c r="C80" s="6" t="s">
        <v>726</v>
      </c>
      <c r="D80" s="439" t="s">
        <v>1002</v>
      </c>
    </row>
    <row r="81" spans="1:4" ht="12.75">
      <c r="A81" s="104" t="str">
        <f t="shared" si="1"/>
        <v>Bemerkungen</v>
      </c>
      <c r="B81" s="6" t="s">
        <v>773</v>
      </c>
      <c r="C81" s="6" t="s">
        <v>774</v>
      </c>
      <c r="D81" s="439" t="s">
        <v>1003</v>
      </c>
    </row>
    <row r="82" spans="1:4" s="103" customFormat="1" ht="12.75">
      <c r="A82" s="103" t="str">
        <f aca="true" t="shared" si="2" ref="A82:A121">IF($A$2=1,B82,IF($A$2=2,C82,IF($A$2=3,D82,"")))</f>
        <v>Teil A: Grund- und Kraftfutterverzehr (Bedarf)</v>
      </c>
      <c r="B82" s="103" t="s">
        <v>390</v>
      </c>
      <c r="C82" s="103" t="s">
        <v>893</v>
      </c>
      <c r="D82" s="438" t="s">
        <v>1004</v>
      </c>
    </row>
    <row r="83" spans="1:5" ht="12.75">
      <c r="A83" s="104" t="str">
        <f t="shared" si="2"/>
        <v>Total Kraftfutterverbrauch für Milchkühe auf LN</v>
      </c>
      <c r="B83" s="6" t="s">
        <v>881</v>
      </c>
      <c r="C83" s="6" t="s">
        <v>882</v>
      </c>
      <c r="D83" s="439" t="s">
        <v>1202</v>
      </c>
      <c r="E83" s="439"/>
    </row>
    <row r="84" spans="1:4" ht="12.75">
      <c r="A84" s="104" t="str">
        <f t="shared" si="2"/>
        <v>dt/Jahr</v>
      </c>
      <c r="B84" s="6" t="s">
        <v>883</v>
      </c>
      <c r="C84" s="75" t="s">
        <v>884</v>
      </c>
      <c r="D84" s="439" t="s">
        <v>885</v>
      </c>
    </row>
    <row r="85" spans="1:5" ht="12.75">
      <c r="A85" s="104" t="str">
        <f t="shared" si="2"/>
        <v>Fütterung von Kartoffeln oder Futterrüben?</v>
      </c>
      <c r="B85" s="6" t="s">
        <v>521</v>
      </c>
      <c r="C85" s="6" t="s">
        <v>860</v>
      </c>
      <c r="D85" s="439" t="s">
        <v>1196</v>
      </c>
      <c r="E85" s="439"/>
    </row>
    <row r="86" spans="1:4" ht="12.75">
      <c r="A86" s="104" t="str">
        <f t="shared" si="2"/>
        <v>ad libitum-Fütterung?</v>
      </c>
      <c r="B86" s="6" t="s">
        <v>522</v>
      </c>
      <c r="C86" s="6" t="s">
        <v>523</v>
      </c>
      <c r="D86" s="439" t="s">
        <v>1005</v>
      </c>
    </row>
    <row r="87" spans="1:4" ht="12.75">
      <c r="A87" s="104" t="str">
        <f t="shared" si="2"/>
        <v>ja</v>
      </c>
      <c r="B87" s="6" t="s">
        <v>524</v>
      </c>
      <c r="C87" s="6" t="s">
        <v>525</v>
      </c>
      <c r="D87" s="439" t="s">
        <v>1006</v>
      </c>
    </row>
    <row r="88" spans="1:4" ht="12.75">
      <c r="A88" s="104" t="str">
        <f t="shared" si="2"/>
        <v>nein</v>
      </c>
      <c r="B88" s="6" t="s">
        <v>526</v>
      </c>
      <c r="C88" s="6" t="s">
        <v>527</v>
      </c>
      <c r="D88" s="439" t="s">
        <v>1007</v>
      </c>
    </row>
    <row r="89" spans="1:4" ht="12.75">
      <c r="A89" s="104" t="str">
        <f t="shared" si="2"/>
        <v>Tierart bzw. Tierkategorie</v>
      </c>
      <c r="B89" s="6" t="s">
        <v>528</v>
      </c>
      <c r="C89" s="6" t="s">
        <v>665</v>
      </c>
      <c r="D89" s="439" t="s">
        <v>1008</v>
      </c>
    </row>
    <row r="90" spans="1:4" ht="12.75">
      <c r="A90" s="104" t="str">
        <f t="shared" si="2"/>
        <v>Einheit</v>
      </c>
      <c r="B90" s="6" t="s">
        <v>583</v>
      </c>
      <c r="C90" s="6" t="s">
        <v>814</v>
      </c>
      <c r="D90" s="439" t="s">
        <v>1009</v>
      </c>
    </row>
    <row r="91" spans="1:4" ht="12.75">
      <c r="A91" s="104" t="str">
        <f t="shared" si="2"/>
        <v>Anzahl</v>
      </c>
      <c r="B91" s="6" t="s">
        <v>650</v>
      </c>
      <c r="C91" s="6" t="s">
        <v>667</v>
      </c>
      <c r="D91" s="439" t="s">
        <v>1010</v>
      </c>
    </row>
    <row r="92" spans="1:4" ht="12.75">
      <c r="A92" s="104" t="str">
        <f t="shared" si="2"/>
        <v>Abzug /</v>
      </c>
      <c r="B92" s="6" t="s">
        <v>644</v>
      </c>
      <c r="C92" s="6" t="s">
        <v>645</v>
      </c>
      <c r="D92" s="439" t="s">
        <v>1011</v>
      </c>
    </row>
    <row r="93" spans="1:4" ht="12.75">
      <c r="A93" s="104" t="str">
        <f t="shared" si="2"/>
        <v>Zuschlag</v>
      </c>
      <c r="B93" s="6" t="s">
        <v>646</v>
      </c>
      <c r="C93" s="6" t="s">
        <v>647</v>
      </c>
      <c r="D93" s="439" t="s">
        <v>1017</v>
      </c>
    </row>
    <row r="94" spans="1:4" ht="12.75">
      <c r="A94" s="104" t="str">
        <f t="shared" si="2"/>
        <v>± Tiere</v>
      </c>
      <c r="B94" s="6" t="s">
        <v>648</v>
      </c>
      <c r="C94" s="6" t="s">
        <v>861</v>
      </c>
      <c r="D94" s="439" t="s">
        <v>1191</v>
      </c>
    </row>
    <row r="95" spans="1:4" ht="12.75">
      <c r="A95" s="104" t="str">
        <f t="shared" si="2"/>
        <v>Tage</v>
      </c>
      <c r="B95" s="6" t="s">
        <v>649</v>
      </c>
      <c r="C95" s="6" t="s">
        <v>701</v>
      </c>
      <c r="D95" s="439" t="s">
        <v>1018</v>
      </c>
    </row>
    <row r="96" spans="1:4" ht="12.75">
      <c r="A96" s="104" t="str">
        <f t="shared" si="2"/>
        <v>Anzahl</v>
      </c>
      <c r="B96" s="6" t="s">
        <v>650</v>
      </c>
      <c r="C96" s="6" t="s">
        <v>667</v>
      </c>
      <c r="D96" s="439" t="s">
        <v>1010</v>
      </c>
    </row>
    <row r="97" spans="1:4" ht="12.75">
      <c r="A97" s="104" t="str">
        <f t="shared" si="2"/>
        <v>korri-</v>
      </c>
      <c r="B97" s="6" t="s">
        <v>740</v>
      </c>
      <c r="C97" s="6" t="s">
        <v>529</v>
      </c>
      <c r="D97" s="439" t="s">
        <v>1019</v>
      </c>
    </row>
    <row r="98" spans="1:4" ht="12.75">
      <c r="A98" s="104" t="str">
        <f t="shared" si="2"/>
        <v>giert</v>
      </c>
      <c r="B98" s="6" t="s">
        <v>741</v>
      </c>
      <c r="D98" s="646"/>
    </row>
    <row r="99" spans="1:4" ht="12.75">
      <c r="A99" s="104" t="str">
        <f t="shared" si="2"/>
        <v>Grundfutter-</v>
      </c>
      <c r="B99" s="6" t="s">
        <v>720</v>
      </c>
      <c r="C99" s="6" t="s">
        <v>664</v>
      </c>
      <c r="D99" s="439" t="s">
        <v>1020</v>
      </c>
    </row>
    <row r="100" spans="1:4" ht="12.75">
      <c r="A100" s="104" t="str">
        <f t="shared" si="2"/>
        <v>verzehr</v>
      </c>
      <c r="B100" s="6" t="s">
        <v>719</v>
      </c>
      <c r="C100" s="6" t="s">
        <v>862</v>
      </c>
      <c r="D100" s="439" t="s">
        <v>1021</v>
      </c>
    </row>
    <row r="101" spans="1:4" ht="12.75">
      <c r="A101" s="104" t="str">
        <f t="shared" si="2"/>
        <v>pro Jahr</v>
      </c>
      <c r="B101" s="6" t="s">
        <v>588</v>
      </c>
      <c r="C101" s="6" t="s">
        <v>668</v>
      </c>
      <c r="D101" s="439" t="s">
        <v>1022</v>
      </c>
    </row>
    <row r="102" spans="1:4" ht="12.75">
      <c r="A102" s="104" t="str">
        <f t="shared" si="2"/>
        <v>dt FS</v>
      </c>
      <c r="B102" s="6" t="s">
        <v>631</v>
      </c>
      <c r="C102" s="6" t="s">
        <v>632</v>
      </c>
      <c r="D102" s="439" t="s">
        <v>1023</v>
      </c>
    </row>
    <row r="103" spans="1:4" ht="12.75">
      <c r="A103" s="104" t="str">
        <f t="shared" si="2"/>
        <v>total</v>
      </c>
      <c r="B103" s="6" t="s">
        <v>669</v>
      </c>
      <c r="C103" s="6" t="s">
        <v>669</v>
      </c>
      <c r="D103" s="439" t="s">
        <v>1024</v>
      </c>
    </row>
    <row r="104" spans="1:4" ht="12.75">
      <c r="A104" s="104" t="str">
        <f t="shared" si="2"/>
        <v>dt TS</v>
      </c>
      <c r="B104" s="6" t="s">
        <v>584</v>
      </c>
      <c r="C104" s="6" t="s">
        <v>670</v>
      </c>
      <c r="D104" s="439" t="s">
        <v>1025</v>
      </c>
    </row>
    <row r="105" spans="1:4" ht="12.75">
      <c r="A105" s="104" t="str">
        <f t="shared" si="2"/>
        <v>Kraftfutter-</v>
      </c>
      <c r="B105" s="6" t="s">
        <v>404</v>
      </c>
      <c r="C105" s="6" t="s">
        <v>664</v>
      </c>
      <c r="D105" s="439" t="s">
        <v>1026</v>
      </c>
    </row>
    <row r="106" spans="1:4" ht="12.75">
      <c r="A106" s="104" t="str">
        <f t="shared" si="2"/>
        <v>verzehr</v>
      </c>
      <c r="B106" s="6" t="s">
        <v>719</v>
      </c>
      <c r="C106" s="6" t="s">
        <v>863</v>
      </c>
      <c r="D106" s="439" t="s">
        <v>1192</v>
      </c>
    </row>
    <row r="107" spans="1:4" ht="12.75">
      <c r="A107" s="104" t="str">
        <f t="shared" si="2"/>
        <v>pro Einh.</v>
      </c>
      <c r="B107" s="6" t="s">
        <v>559</v>
      </c>
      <c r="C107" s="6" t="s">
        <v>666</v>
      </c>
      <c r="D107" s="439" t="s">
        <v>1027</v>
      </c>
    </row>
    <row r="108" spans="1:4" ht="12.75">
      <c r="A108" s="104" t="str">
        <f t="shared" si="2"/>
        <v>kg FS</v>
      </c>
      <c r="B108" s="6" t="s">
        <v>385</v>
      </c>
      <c r="C108" s="104" t="s">
        <v>864</v>
      </c>
      <c r="D108" s="439" t="s">
        <v>1028</v>
      </c>
    </row>
    <row r="109" spans="1:4" ht="12.75">
      <c r="A109" s="104" t="str">
        <f t="shared" si="2"/>
        <v>dt</v>
      </c>
      <c r="B109" s="6" t="s">
        <v>815</v>
      </c>
      <c r="C109" s="6" t="s">
        <v>815</v>
      </c>
      <c r="D109" s="439" t="s">
        <v>1029</v>
      </c>
    </row>
    <row r="110" spans="1:4" ht="12.75">
      <c r="A110" s="104" t="str">
        <f t="shared" si="2"/>
        <v>Sömmerung</v>
      </c>
      <c r="B110" s="6" t="s">
        <v>437</v>
      </c>
      <c r="C110" s="473" t="s">
        <v>438</v>
      </c>
      <c r="D110" s="645" t="s">
        <v>439</v>
      </c>
    </row>
    <row r="111" spans="1:4" ht="12.75">
      <c r="A111" s="104" t="str">
        <f t="shared" si="2"/>
        <v>Anzahl</v>
      </c>
      <c r="B111" s="6" t="s">
        <v>650</v>
      </c>
      <c r="C111" s="473" t="s">
        <v>667</v>
      </c>
      <c r="D111" s="439" t="s">
        <v>1010</v>
      </c>
    </row>
    <row r="112" spans="1:4" ht="12.75">
      <c r="A112" s="104" t="str">
        <f t="shared" si="2"/>
        <v>Tiere</v>
      </c>
      <c r="B112" s="6" t="s">
        <v>434</v>
      </c>
      <c r="C112" s="473" t="s">
        <v>435</v>
      </c>
      <c r="D112" s="439" t="s">
        <v>436</v>
      </c>
    </row>
    <row r="113" spans="1:4" ht="12.75">
      <c r="A113" s="104" t="str">
        <f t="shared" si="2"/>
        <v>Anzahl</v>
      </c>
      <c r="B113" s="6" t="s">
        <v>650</v>
      </c>
      <c r="C113" s="473" t="s">
        <v>667</v>
      </c>
      <c r="D113" s="439" t="s">
        <v>1010</v>
      </c>
    </row>
    <row r="114" spans="1:4" ht="12.75">
      <c r="A114" s="104" t="str">
        <f t="shared" si="2"/>
        <v>Tage</v>
      </c>
      <c r="B114" s="6" t="s">
        <v>649</v>
      </c>
      <c r="C114" s="473" t="s">
        <v>701</v>
      </c>
      <c r="D114" s="439" t="s">
        <v>1018</v>
      </c>
    </row>
    <row r="115" spans="1:4" ht="12.75">
      <c r="A115" s="104" t="str">
        <f>IF($A$2=1,B115,IF($A$2=2,C115,IF($A$2=3,D115,"")))</f>
        <v>Sömmerungs-</v>
      </c>
      <c r="B115" s="104" t="s">
        <v>446</v>
      </c>
      <c r="C115" s="473" t="s">
        <v>447</v>
      </c>
      <c r="D115" s="104" t="s">
        <v>1246</v>
      </c>
    </row>
    <row r="116" spans="1:4" ht="12.75">
      <c r="A116" s="104" t="str">
        <f>IF($A$2=1,B116,IF($A$2=2,C116,IF($A$2=3,D116,"")))</f>
        <v>tage total</v>
      </c>
      <c r="B116" s="104" t="s">
        <v>448</v>
      </c>
      <c r="C116" s="473" t="s">
        <v>669</v>
      </c>
      <c r="D116" s="439" t="s">
        <v>1247</v>
      </c>
    </row>
    <row r="117" spans="1:4" ht="12.75">
      <c r="A117" s="104" t="str">
        <f t="shared" si="2"/>
        <v>GF-Verzehr</v>
      </c>
      <c r="B117" s="6" t="s">
        <v>449</v>
      </c>
      <c r="C117" s="473" t="s">
        <v>450</v>
      </c>
      <c r="D117" s="645" t="s">
        <v>451</v>
      </c>
    </row>
    <row r="118" spans="1:4" ht="12.75">
      <c r="A118" s="104" t="str">
        <f t="shared" si="2"/>
        <v>Kraftfutter</v>
      </c>
      <c r="B118" s="6" t="s">
        <v>663</v>
      </c>
      <c r="C118" s="473" t="s">
        <v>452</v>
      </c>
      <c r="D118" s="645" t="s">
        <v>1192</v>
      </c>
    </row>
    <row r="119" spans="1:4" ht="12.75">
      <c r="A119" s="104" t="str">
        <f>IF($A$2=1,B119,IF($A$2=2,C119,IF($A$2=3,D119,"")))</f>
        <v>dt TS total</v>
      </c>
      <c r="B119" s="104" t="s">
        <v>443</v>
      </c>
      <c r="C119" s="473" t="s">
        <v>444</v>
      </c>
      <c r="D119" s="439" t="s">
        <v>445</v>
      </c>
    </row>
    <row r="120" spans="1:4" ht="12.75">
      <c r="A120" s="104" t="str">
        <f>IF($A$2=1,B120,IF($A$2=2,C120,IF($A$2=3,D120,"")))</f>
        <v>dt FS total</v>
      </c>
      <c r="B120" s="104" t="s">
        <v>440</v>
      </c>
      <c r="C120" s="513" t="s">
        <v>441</v>
      </c>
      <c r="D120" s="439" t="s">
        <v>442</v>
      </c>
    </row>
    <row r="121" spans="1:5" ht="12.75">
      <c r="A121" s="104" t="str">
        <f t="shared" si="2"/>
        <v>Raufutterverzehrer mit Kraftfutter</v>
      </c>
      <c r="B121" s="6" t="s">
        <v>780</v>
      </c>
      <c r="C121" s="6" t="s">
        <v>865</v>
      </c>
      <c r="D121" s="439" t="s">
        <v>1030</v>
      </c>
      <c r="E121" s="439"/>
    </row>
    <row r="122" spans="1:4" ht="12.75">
      <c r="A122" s="104" t="str">
        <f aca="true" t="shared" si="3" ref="A122:A156">IF($A$2=1,B122,IF($A$2=2,C122,IF($A$2=3,D122,"")))</f>
        <v>Rindvieh</v>
      </c>
      <c r="B122" s="6" t="s">
        <v>822</v>
      </c>
      <c r="C122" s="6" t="s">
        <v>866</v>
      </c>
      <c r="D122" s="439" t="s">
        <v>1031</v>
      </c>
    </row>
    <row r="123" spans="1:4" ht="12.75">
      <c r="A123" s="104" t="str">
        <f t="shared" si="3"/>
        <v>Ø Milchprod. kg/Jahr</v>
      </c>
      <c r="B123" s="490" t="s">
        <v>43</v>
      </c>
      <c r="C123" s="490" t="s">
        <v>44</v>
      </c>
      <c r="D123" s="490" t="s">
        <v>45</v>
      </c>
    </row>
    <row r="124" spans="1:4" ht="12.75">
      <c r="A124" s="104" t="str">
        <f t="shared" si="3"/>
        <v>Milchkühe</v>
      </c>
      <c r="B124" s="6" t="s">
        <v>743</v>
      </c>
      <c r="C124" s="6" t="s">
        <v>867</v>
      </c>
      <c r="D124" s="439" t="s">
        <v>1032</v>
      </c>
    </row>
    <row r="125" spans="1:4" ht="12.75">
      <c r="A125" s="104" t="str">
        <f t="shared" si="3"/>
        <v>andere Kühe</v>
      </c>
      <c r="B125" s="6" t="s">
        <v>400</v>
      </c>
      <c r="C125" s="6" t="s">
        <v>868</v>
      </c>
      <c r="D125" s="439" t="s">
        <v>1033</v>
      </c>
    </row>
    <row r="126" spans="1:4" ht="12.75">
      <c r="A126" s="104" t="str">
        <f t="shared" si="3"/>
        <v>Ausmastkuh</v>
      </c>
      <c r="B126" s="6" t="s">
        <v>131</v>
      </c>
      <c r="C126" s="6" t="s">
        <v>133</v>
      </c>
      <c r="D126" s="439" t="s">
        <v>134</v>
      </c>
    </row>
    <row r="127" spans="1:4" ht="12.75">
      <c r="A127" s="104" t="str">
        <f t="shared" si="3"/>
        <v>Galtkuh</v>
      </c>
      <c r="B127" s="6" t="s">
        <v>132</v>
      </c>
      <c r="C127" s="6" t="s">
        <v>135</v>
      </c>
      <c r="D127" s="439" t="s">
        <v>136</v>
      </c>
    </row>
    <row r="128" spans="1:4" ht="12.75">
      <c r="A128" s="104" t="str">
        <f t="shared" si="3"/>
        <v>arbeitsteiliger Produktion</v>
      </c>
      <c r="B128" s="513" t="s">
        <v>166</v>
      </c>
      <c r="C128" s="6" t="s">
        <v>167</v>
      </c>
      <c r="D128" s="439" t="s">
        <v>165</v>
      </c>
    </row>
    <row r="129" spans="1:4" ht="12.75">
      <c r="A129" s="104" t="str">
        <f t="shared" si="3"/>
        <v>Mutterkühe schwer (LG 700-800 kg)</v>
      </c>
      <c r="B129" s="6" t="s">
        <v>1325</v>
      </c>
      <c r="C129" s="6" t="s">
        <v>1328</v>
      </c>
      <c r="D129" s="439" t="s">
        <v>1329</v>
      </c>
    </row>
    <row r="130" spans="1:4" ht="12.75">
      <c r="A130" s="104" t="str">
        <f t="shared" si="3"/>
        <v>Mutterkühe mittel (LG 600-700 kg)</v>
      </c>
      <c r="B130" s="6" t="s">
        <v>1324</v>
      </c>
      <c r="C130" s="6" t="s">
        <v>1327</v>
      </c>
      <c r="D130" s="440" t="s">
        <v>1331</v>
      </c>
    </row>
    <row r="131" spans="1:4" ht="12.75">
      <c r="A131" s="104" t="str">
        <f t="shared" si="3"/>
        <v>Mutterkühe leicht (LG&lt;600 kg)</v>
      </c>
      <c r="B131" s="6" t="s">
        <v>1323</v>
      </c>
      <c r="C131" s="6" t="s">
        <v>1326</v>
      </c>
      <c r="D131" s="439" t="s">
        <v>1330</v>
      </c>
    </row>
    <row r="132" spans="1:4" ht="12.75">
      <c r="A132" s="104" t="str">
        <f t="shared" si="3"/>
        <v>Jungvieh, &lt; 160 Tage alt</v>
      </c>
      <c r="B132" s="6" t="s">
        <v>137</v>
      </c>
      <c r="C132" s="6" t="s">
        <v>138</v>
      </c>
      <c r="D132" s="439" t="s">
        <v>139</v>
      </c>
    </row>
    <row r="133" spans="1:4" ht="12.75">
      <c r="A133" s="104" t="str">
        <f t="shared" si="3"/>
        <v>Jungvieh, 160-365 Tage alt</v>
      </c>
      <c r="B133" s="6" t="s">
        <v>140</v>
      </c>
      <c r="C133" s="6" t="s">
        <v>141</v>
      </c>
      <c r="D133" s="439" t="s">
        <v>142</v>
      </c>
    </row>
    <row r="134" spans="1:4" ht="12.75">
      <c r="A134" s="104" t="str">
        <f t="shared" si="3"/>
        <v>Jungvieh, 1 bis 2-jährig</v>
      </c>
      <c r="B134" s="6" t="s">
        <v>585</v>
      </c>
      <c r="C134" s="6" t="s">
        <v>869</v>
      </c>
      <c r="D134" s="439" t="s">
        <v>1034</v>
      </c>
    </row>
    <row r="135" spans="1:4" ht="12.75">
      <c r="A135" s="104" t="str">
        <f t="shared" si="3"/>
        <v>Rinder &gt;2-jährig</v>
      </c>
      <c r="B135" s="6" t="s">
        <v>586</v>
      </c>
      <c r="C135" s="6" t="s">
        <v>870</v>
      </c>
      <c r="D135" s="439" t="s">
        <v>1035</v>
      </c>
    </row>
    <row r="136" spans="1:4" ht="12.75">
      <c r="A136" s="104" t="str">
        <f t="shared" si="3"/>
        <v>Mastkälber (50-200 kg)</v>
      </c>
      <c r="B136" s="6" t="s">
        <v>730</v>
      </c>
      <c r="C136" s="6" t="s">
        <v>871</v>
      </c>
      <c r="D136" s="439" t="s">
        <v>1036</v>
      </c>
    </row>
    <row r="137" spans="1:4" ht="12.75">
      <c r="A137" s="104" t="str">
        <f t="shared" si="3"/>
        <v>Mutterkuhkälber leicht, ca 350 kg</v>
      </c>
      <c r="B137" s="6" t="s">
        <v>672</v>
      </c>
      <c r="C137" s="6" t="s">
        <v>872</v>
      </c>
      <c r="D137" s="439" t="s">
        <v>1037</v>
      </c>
    </row>
    <row r="138" spans="1:4" ht="12.75">
      <c r="A138" s="104" t="str">
        <f t="shared" si="3"/>
        <v>Mutterkuhkälber schwer, ca 400 kg</v>
      </c>
      <c r="B138" s="6" t="s">
        <v>673</v>
      </c>
      <c r="C138" s="6" t="s">
        <v>873</v>
      </c>
      <c r="D138" s="439" t="s">
        <v>1038</v>
      </c>
    </row>
    <row r="139" spans="1:4" ht="12.75">
      <c r="A139" s="104" t="str">
        <f t="shared" si="3"/>
        <v>Rindviehmast intensiv, 65-520 kg</v>
      </c>
      <c r="B139" s="6" t="s">
        <v>82</v>
      </c>
      <c r="C139" s="6" t="s">
        <v>87</v>
      </c>
      <c r="D139" s="439" t="s">
        <v>88</v>
      </c>
    </row>
    <row r="140" spans="1:4" ht="12.75">
      <c r="A140" s="104" t="str">
        <f t="shared" si="3"/>
        <v>Rindviehmast Tränker &lt; 4 Mte.</v>
      </c>
      <c r="B140" s="6" t="s">
        <v>83</v>
      </c>
      <c r="C140" s="6" t="s">
        <v>89</v>
      </c>
      <c r="D140" s="439" t="s">
        <v>90</v>
      </c>
    </row>
    <row r="141" spans="1:4" ht="12.75">
      <c r="A141" s="104" t="str">
        <f t="shared" si="3"/>
        <v>Rindviehmast intensiv &gt; 4 Monate</v>
      </c>
      <c r="B141" s="6" t="s">
        <v>84</v>
      </c>
      <c r="C141" s="6" t="s">
        <v>91</v>
      </c>
      <c r="D141" s="439" t="s">
        <v>92</v>
      </c>
    </row>
    <row r="142" spans="1:4" ht="12.75">
      <c r="A142" s="104" t="str">
        <f t="shared" si="3"/>
        <v>Rindviehmast Weidemast &gt; 4 Monate</v>
      </c>
      <c r="B142" s="6" t="s">
        <v>85</v>
      </c>
      <c r="C142" s="6" t="s">
        <v>93</v>
      </c>
      <c r="D142" s="439" t="s">
        <v>94</v>
      </c>
    </row>
    <row r="143" spans="1:4" ht="12.75">
      <c r="A143" s="104" t="str">
        <f t="shared" si="3"/>
        <v>Rindviehmast, intensive Ausmast</v>
      </c>
      <c r="B143" s="6" t="s">
        <v>86</v>
      </c>
      <c r="C143" s="6" t="s">
        <v>95</v>
      </c>
      <c r="D143" s="439" t="s">
        <v>96</v>
      </c>
    </row>
    <row r="144" spans="1:4" ht="12.75">
      <c r="A144" s="104" t="str">
        <f t="shared" si="3"/>
        <v>Zuchtstier</v>
      </c>
      <c r="B144" s="6" t="s">
        <v>674</v>
      </c>
      <c r="C144" s="6" t="s">
        <v>614</v>
      </c>
      <c r="D144" s="439" t="s">
        <v>1042</v>
      </c>
    </row>
    <row r="145" spans="1:4" ht="12.75">
      <c r="A145" s="104" t="str">
        <f t="shared" si="3"/>
        <v>Raufutterverzehrer ohne Kraftfutter (gem. GMF)</v>
      </c>
      <c r="B145" s="6" t="s">
        <v>781</v>
      </c>
      <c r="C145" s="6" t="s">
        <v>874</v>
      </c>
      <c r="D145" s="439" t="s">
        <v>1043</v>
      </c>
    </row>
    <row r="146" spans="1:4" ht="12.75">
      <c r="A146" s="104" t="str">
        <f t="shared" si="3"/>
        <v>weitere Raufutterverzehrende Tiere</v>
      </c>
      <c r="B146" s="6" t="s">
        <v>821</v>
      </c>
      <c r="C146" s="6" t="s">
        <v>875</v>
      </c>
      <c r="D146" s="439" t="s">
        <v>1044</v>
      </c>
    </row>
    <row r="147" spans="1:4" ht="12.75">
      <c r="A147" s="104" t="str">
        <f t="shared" si="3"/>
        <v>Pferde &lt; 180 d, &gt; 148 cm*</v>
      </c>
      <c r="B147" s="104" t="s">
        <v>490</v>
      </c>
      <c r="C147" s="6" t="s">
        <v>478</v>
      </c>
      <c r="D147" s="439" t="s">
        <v>484</v>
      </c>
    </row>
    <row r="148" spans="1:4" ht="12.75">
      <c r="A148" s="104" t="str">
        <f t="shared" si="3"/>
        <v>Pferde &gt; 180 d, &gt; 148 cm*</v>
      </c>
      <c r="B148" s="104" t="s">
        <v>491</v>
      </c>
      <c r="C148" s="6" t="s">
        <v>479</v>
      </c>
      <c r="D148" s="439" t="s">
        <v>483</v>
      </c>
    </row>
    <row r="149" spans="1:4" ht="12.75">
      <c r="A149" s="104" t="str">
        <f t="shared" si="3"/>
        <v>Maultiere, Maulesel &lt; 180 d, unabh. Widerristhöhe</v>
      </c>
      <c r="B149" s="104" t="s">
        <v>488</v>
      </c>
      <c r="C149" s="6" t="s">
        <v>480</v>
      </c>
      <c r="D149" s="439" t="s">
        <v>485</v>
      </c>
    </row>
    <row r="150" spans="1:4" ht="12.75">
      <c r="A150" s="104" t="str">
        <f t="shared" si="3"/>
        <v>Maultiere, Maulesel &gt; 180 d, unabh. Widerristhöhe</v>
      </c>
      <c r="B150" s="104" t="s">
        <v>489</v>
      </c>
      <c r="C150" s="6" t="s">
        <v>481</v>
      </c>
      <c r="D150" s="439" t="s">
        <v>486</v>
      </c>
    </row>
    <row r="151" spans="1:4" ht="12.75">
      <c r="A151" s="104" t="str">
        <f t="shared" si="3"/>
        <v>Ponys**, Kleinpferde und Esel, jeden Alters, &lt; 148 cm</v>
      </c>
      <c r="B151" s="104" t="s">
        <v>492</v>
      </c>
      <c r="C151" s="6" t="s">
        <v>482</v>
      </c>
      <c r="D151" s="439" t="s">
        <v>487</v>
      </c>
    </row>
    <row r="152" spans="1:4" ht="12.75">
      <c r="A152" s="104" t="str">
        <f t="shared" si="3"/>
        <v>Ziegenplatz (inkl. Juntiere und Anteil Bock)</v>
      </c>
      <c r="B152" s="6" t="s">
        <v>675</v>
      </c>
      <c r="C152" s="6" t="s">
        <v>876</v>
      </c>
      <c r="D152" s="439" t="s">
        <v>1183</v>
      </c>
    </row>
    <row r="153" spans="1:4" ht="12.75">
      <c r="A153" s="104" t="str">
        <f t="shared" si="3"/>
        <v>Schafplatz (inkl. Jungtiere und Anteil Bock)</v>
      </c>
      <c r="B153" s="6" t="s">
        <v>676</v>
      </c>
      <c r="C153" s="6" t="s">
        <v>877</v>
      </c>
      <c r="D153" s="439" t="s">
        <v>1184</v>
      </c>
    </row>
    <row r="154" spans="1:4" ht="12.75">
      <c r="A154" s="104" t="str">
        <f t="shared" si="3"/>
        <v>Milchschafe (inkl.Jungtiere)</v>
      </c>
      <c r="B154" s="6" t="s">
        <v>587</v>
      </c>
      <c r="C154" s="6" t="s">
        <v>616</v>
      </c>
      <c r="D154" s="439" t="s">
        <v>1185</v>
      </c>
    </row>
    <row r="155" spans="1:4" ht="12.75">
      <c r="A155" s="104" t="str">
        <f t="shared" si="3"/>
        <v>Weidemastlamm, -gitzi</v>
      </c>
      <c r="B155" s="6" t="s">
        <v>721</v>
      </c>
      <c r="C155" s="6" t="s">
        <v>615</v>
      </c>
      <c r="D155" s="439" t="s">
        <v>1045</v>
      </c>
    </row>
    <row r="156" spans="1:4" ht="12.75">
      <c r="A156" s="104" t="str">
        <f t="shared" si="3"/>
        <v>Damhirsche inkl. Jungtiere, 1 Einheit=2 Tiere</v>
      </c>
      <c r="B156" s="6" t="s">
        <v>679</v>
      </c>
      <c r="C156" s="104" t="s">
        <v>929</v>
      </c>
      <c r="D156" s="439" t="s">
        <v>1046</v>
      </c>
    </row>
    <row r="157" spans="1:4" ht="12.75">
      <c r="A157" s="104" t="str">
        <f aca="true" t="shared" si="4" ref="A157:A195">IF($A$2=1,B157,IF($A$2=2,C157,IF($A$2=3,D157,"")))</f>
        <v>Rothirsche inkl. Jungtiere, 1 Einheit=2 Tiere</v>
      </c>
      <c r="B157" s="6" t="s">
        <v>677</v>
      </c>
      <c r="C157" s="104" t="s">
        <v>930</v>
      </c>
      <c r="D157" s="439" t="s">
        <v>1056</v>
      </c>
    </row>
    <row r="158" spans="1:4" ht="12.75">
      <c r="A158" s="104" t="str">
        <f t="shared" si="4"/>
        <v>Wapiti inkl. Jungtiere, 1 Einheit=2 Tiere</v>
      </c>
      <c r="B158" s="6" t="s">
        <v>678</v>
      </c>
      <c r="C158" s="104" t="s">
        <v>932</v>
      </c>
      <c r="D158" s="439" t="s">
        <v>1057</v>
      </c>
    </row>
    <row r="159" spans="1:4" ht="12.75">
      <c r="A159" s="104" t="str">
        <f t="shared" si="4"/>
        <v>Bisons über 900 d</v>
      </c>
      <c r="B159" s="104" t="s">
        <v>493</v>
      </c>
      <c r="C159" s="104" t="s">
        <v>496</v>
      </c>
      <c r="D159" s="439" t="s">
        <v>497</v>
      </c>
    </row>
    <row r="160" spans="1:4" ht="12.75">
      <c r="A160" s="104" t="str">
        <f t="shared" si="4"/>
        <v>Bisons bis 900 d</v>
      </c>
      <c r="B160" s="104" t="s">
        <v>494</v>
      </c>
      <c r="C160" s="104" t="s">
        <v>495</v>
      </c>
      <c r="D160" s="439" t="s">
        <v>498</v>
      </c>
    </row>
    <row r="161" spans="1:4" ht="12.75">
      <c r="A161" s="104" t="str">
        <f t="shared" si="4"/>
        <v>Lamas über 2-jährig</v>
      </c>
      <c r="B161" s="6" t="s">
        <v>731</v>
      </c>
      <c r="C161" s="6" t="s">
        <v>736</v>
      </c>
      <c r="D161" s="439" t="s">
        <v>1058</v>
      </c>
    </row>
    <row r="162" spans="1:4" ht="12.75">
      <c r="A162" s="104" t="str">
        <f t="shared" si="4"/>
        <v>Lamas unter 2-jährig</v>
      </c>
      <c r="B162" s="6" t="s">
        <v>732</v>
      </c>
      <c r="C162" s="6" t="s">
        <v>737</v>
      </c>
      <c r="D162" s="439" t="s">
        <v>1059</v>
      </c>
    </row>
    <row r="163" spans="1:4" ht="12.75">
      <c r="A163" s="104" t="str">
        <f t="shared" si="4"/>
        <v>Alpakas über 2-jährig</v>
      </c>
      <c r="B163" s="6" t="s">
        <v>733</v>
      </c>
      <c r="C163" s="6" t="s">
        <v>738</v>
      </c>
      <c r="D163" s="439" t="s">
        <v>1060</v>
      </c>
    </row>
    <row r="164" spans="1:4" ht="12.75">
      <c r="A164" s="104" t="str">
        <f t="shared" si="4"/>
        <v>Alpakas unter 2-jährig</v>
      </c>
      <c r="B164" s="6" t="s">
        <v>734</v>
      </c>
      <c r="C164" s="6" t="s">
        <v>617</v>
      </c>
      <c r="D164" s="439" t="s">
        <v>1061</v>
      </c>
    </row>
    <row r="165" spans="1:4" ht="12.75">
      <c r="A165" s="104" t="str">
        <f t="shared" si="4"/>
        <v>übrige Tierkategorien mit GF-Verzehr</v>
      </c>
      <c r="B165" s="6" t="s">
        <v>782</v>
      </c>
      <c r="C165" s="6" t="s">
        <v>887</v>
      </c>
      <c r="D165" s="439" t="s">
        <v>1062</v>
      </c>
    </row>
    <row r="166" spans="1:4" ht="12.75">
      <c r="A166" s="104" t="str">
        <f t="shared" si="4"/>
        <v>davon Wiesen-</v>
      </c>
      <c r="B166" s="6" t="s">
        <v>1319</v>
      </c>
      <c r="C166" s="6" t="s">
        <v>35</v>
      </c>
      <c r="D166" s="439" t="s">
        <v>1203</v>
      </c>
    </row>
    <row r="167" spans="1:4" ht="12.75">
      <c r="A167" s="104" t="str">
        <f t="shared" si="4"/>
        <v>&amp; Weidefutter</v>
      </c>
      <c r="B167" s="6" t="s">
        <v>1320</v>
      </c>
      <c r="C167" s="6" t="s">
        <v>818</v>
      </c>
      <c r="D167" s="439" t="s">
        <v>1204</v>
      </c>
    </row>
    <row r="168" spans="1:4" ht="12.75">
      <c r="A168" s="104" t="str">
        <f t="shared" si="4"/>
        <v>Kaninchen, Zibben inkl. Jungtiere bis 35 d</v>
      </c>
      <c r="B168" s="6" t="s">
        <v>933</v>
      </c>
      <c r="C168" s="6" t="s">
        <v>620</v>
      </c>
      <c r="D168" s="439" t="s">
        <v>1193</v>
      </c>
    </row>
    <row r="169" spans="1:4" ht="12.75">
      <c r="A169" s="104" t="str">
        <f t="shared" si="4"/>
        <v>Kaninchen, Jungtiere ab ca 35 Tagen</v>
      </c>
      <c r="B169" s="6" t="s">
        <v>934</v>
      </c>
      <c r="C169" s="104" t="s">
        <v>935</v>
      </c>
      <c r="D169" s="439" t="s">
        <v>1194</v>
      </c>
    </row>
    <row r="170" spans="1:4" ht="12.75">
      <c r="A170" s="104" t="str">
        <f t="shared" si="4"/>
        <v>Strausse &gt; 13 Monate</v>
      </c>
      <c r="B170" s="6" t="s">
        <v>405</v>
      </c>
      <c r="C170" s="6" t="s">
        <v>600</v>
      </c>
      <c r="D170" s="439" t="s">
        <v>1063</v>
      </c>
    </row>
    <row r="171" spans="1:4" ht="12.75">
      <c r="A171" s="104" t="str">
        <f t="shared" si="4"/>
        <v>Strausse &lt; 13 Monate</v>
      </c>
      <c r="B171" s="6" t="s">
        <v>406</v>
      </c>
      <c r="C171" s="6" t="s">
        <v>601</v>
      </c>
      <c r="D171" s="439" t="s">
        <v>1072</v>
      </c>
    </row>
    <row r="172" spans="1:4" ht="12.75">
      <c r="A172" s="104" t="str">
        <f t="shared" si="4"/>
        <v>Mastschweineplatz / Remonten (26-108 kg)</v>
      </c>
      <c r="B172" s="6" t="s">
        <v>143</v>
      </c>
      <c r="C172" s="6" t="s">
        <v>144</v>
      </c>
      <c r="D172" s="439" t="s">
        <v>145</v>
      </c>
    </row>
    <row r="173" spans="1:4" ht="12.75">
      <c r="A173" s="104" t="str">
        <f t="shared" si="4"/>
        <v>Mastschweine / Remonten (26-108 kg)</v>
      </c>
      <c r="B173" s="6" t="s">
        <v>146</v>
      </c>
      <c r="C173" s="6" t="s">
        <v>147</v>
      </c>
      <c r="D173" s="439" t="s">
        <v>148</v>
      </c>
    </row>
    <row r="174" spans="1:4" ht="12.75">
      <c r="A174" s="104" t="str">
        <f t="shared" si="4"/>
        <v>Zuchtschweine inkl. Ferkel bis 26 kg</v>
      </c>
      <c r="B174" s="6" t="s">
        <v>149</v>
      </c>
      <c r="C174" s="6" t="s">
        <v>150</v>
      </c>
      <c r="D174" s="439" t="s">
        <v>153</v>
      </c>
    </row>
    <row r="175" spans="1:4" ht="12.75">
      <c r="A175" s="104" t="str">
        <f t="shared" si="4"/>
        <v>Galtsauenplatz, 2.94 Umtriebe</v>
      </c>
      <c r="B175" s="6" t="s">
        <v>160</v>
      </c>
      <c r="C175" s="6" t="s">
        <v>161</v>
      </c>
      <c r="D175" s="439" t="s">
        <v>162</v>
      </c>
    </row>
    <row r="176" spans="1:4" ht="12.75">
      <c r="A176" s="104" t="str">
        <f t="shared" si="4"/>
        <v>Galtsauen, pro Umtrieb</v>
      </c>
      <c r="B176" s="6" t="s">
        <v>680</v>
      </c>
      <c r="C176" s="6" t="s">
        <v>618</v>
      </c>
      <c r="D176" s="439" t="s">
        <v>1073</v>
      </c>
    </row>
    <row r="177" spans="1:4" ht="12.75">
      <c r="A177" s="104" t="str">
        <f t="shared" si="4"/>
        <v>Zuchtschweine, säugend, 9.86 Umtriebe</v>
      </c>
      <c r="B177" s="6" t="s">
        <v>157</v>
      </c>
      <c r="C177" s="6" t="s">
        <v>163</v>
      </c>
      <c r="D177" s="439" t="s">
        <v>158</v>
      </c>
    </row>
    <row r="178" spans="1:4" ht="12.75">
      <c r="A178" s="104" t="str">
        <f t="shared" si="4"/>
        <v>Zuchtschweine, säugend, pro Umtrieb</v>
      </c>
      <c r="B178" s="6" t="s">
        <v>681</v>
      </c>
      <c r="C178" s="6" t="s">
        <v>164</v>
      </c>
      <c r="D178" s="439" t="s">
        <v>1074</v>
      </c>
    </row>
    <row r="179" spans="1:4" ht="12.75">
      <c r="A179" s="104" t="str">
        <f t="shared" si="4"/>
        <v>Zuchteber</v>
      </c>
      <c r="B179" s="6" t="s">
        <v>702</v>
      </c>
      <c r="C179" s="6" t="s">
        <v>619</v>
      </c>
      <c r="D179" s="439" t="s">
        <v>1075</v>
      </c>
    </row>
    <row r="180" spans="1:4" ht="12.75">
      <c r="A180" s="104" t="str">
        <f t="shared" si="4"/>
        <v>Ferkel abgesetzt, 8-26 kg, 9.61 Umtriebe</v>
      </c>
      <c r="B180" s="6" t="s">
        <v>151</v>
      </c>
      <c r="C180" s="6" t="s">
        <v>152</v>
      </c>
      <c r="D180" s="439" t="s">
        <v>159</v>
      </c>
    </row>
    <row r="181" spans="1:4" ht="12.75">
      <c r="A181" s="104" t="str">
        <f t="shared" si="4"/>
        <v>Ferkel abgesetzt, 8-26 kg</v>
      </c>
      <c r="B181" s="6" t="s">
        <v>154</v>
      </c>
      <c r="C181" s="6" t="s">
        <v>155</v>
      </c>
      <c r="D181" s="439" t="s">
        <v>156</v>
      </c>
    </row>
    <row r="182" spans="1:4" ht="12.75">
      <c r="A182" s="104" t="str">
        <f t="shared" si="4"/>
        <v>Nachweis nötig!</v>
      </c>
      <c r="B182" s="6" t="s">
        <v>401</v>
      </c>
      <c r="C182" s="6" t="s">
        <v>878</v>
      </c>
      <c r="D182" s="439" t="s">
        <v>1076</v>
      </c>
    </row>
    <row r="183" spans="1:4" ht="12.75">
      <c r="A183" s="104" t="str">
        <f t="shared" si="4"/>
        <v>GF-Verzehr zu hoch!</v>
      </c>
      <c r="B183" s="6" t="s">
        <v>783</v>
      </c>
      <c r="C183" s="473" t="s">
        <v>879</v>
      </c>
      <c r="D183" s="439" t="s">
        <v>1077</v>
      </c>
    </row>
    <row r="184" spans="1:4" ht="12.75">
      <c r="A184" s="104" t="str">
        <f t="shared" si="4"/>
        <v>Total Wiesen- &amp; Weidefutter &gt; Grundfutterverzehr</v>
      </c>
      <c r="B184" s="6" t="s">
        <v>246</v>
      </c>
      <c r="C184" s="473" t="s">
        <v>247</v>
      </c>
      <c r="D184" s="645" t="s">
        <v>1205</v>
      </c>
    </row>
    <row r="185" spans="1:4" ht="12.75">
      <c r="A185" s="104" t="str">
        <f t="shared" si="4"/>
        <v>KF-Menge Sömmerung über zulässiger Menge</v>
      </c>
      <c r="B185" s="513" t="s">
        <v>477</v>
      </c>
      <c r="C185" s="104" t="s">
        <v>192</v>
      </c>
      <c r="D185" s="440" t="s">
        <v>192</v>
      </c>
    </row>
    <row r="186" spans="1:4" ht="12.75">
      <c r="A186" s="104" t="str">
        <f t="shared" si="4"/>
        <v>Ganzjahresbetrieb</v>
      </c>
      <c r="B186" s="6" t="s">
        <v>459</v>
      </c>
      <c r="C186" s="473" t="s">
        <v>460</v>
      </c>
      <c r="D186" s="647" t="s">
        <v>1105</v>
      </c>
    </row>
    <row r="187" spans="1:256" s="104" customFormat="1" ht="12.75">
      <c r="A187" s="104" t="str">
        <f t="shared" si="4"/>
        <v>A1: Grundfutterverzehr aller Tiere</v>
      </c>
      <c r="B187" s="6" t="s">
        <v>388</v>
      </c>
      <c r="C187" s="571" t="s">
        <v>889</v>
      </c>
      <c r="D187" s="439" t="s">
        <v>1206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106"/>
      <c r="FC187" s="106"/>
      <c r="FD187" s="106"/>
      <c r="FE187" s="106"/>
      <c r="FF187" s="106"/>
      <c r="FG187" s="106"/>
      <c r="FH187" s="106"/>
      <c r="FI187" s="106"/>
      <c r="FJ187" s="106"/>
      <c r="FK187" s="106"/>
      <c r="FL187" s="106"/>
      <c r="FM187" s="106"/>
      <c r="FN187" s="106"/>
      <c r="FO187" s="106"/>
      <c r="FP187" s="106"/>
      <c r="FQ187" s="106"/>
      <c r="FR187" s="106"/>
      <c r="FS187" s="106"/>
      <c r="FT187" s="106"/>
      <c r="FU187" s="106"/>
      <c r="FV187" s="106"/>
      <c r="FW187" s="106"/>
      <c r="FX187" s="106"/>
      <c r="FY187" s="106"/>
      <c r="FZ187" s="106"/>
      <c r="GA187" s="106"/>
      <c r="GB187" s="106"/>
      <c r="GC187" s="106"/>
      <c r="GD187" s="106"/>
      <c r="GE187" s="106"/>
      <c r="GF187" s="106"/>
      <c r="GG187" s="106"/>
      <c r="GH187" s="106"/>
      <c r="GI187" s="106"/>
      <c r="GJ187" s="106"/>
      <c r="GK187" s="106"/>
      <c r="GL187" s="106"/>
      <c r="GM187" s="106"/>
      <c r="GN187" s="106"/>
      <c r="GO187" s="106"/>
      <c r="GP187" s="106"/>
      <c r="GQ187" s="106"/>
      <c r="GR187" s="106"/>
      <c r="GS187" s="106"/>
      <c r="GT187" s="106"/>
      <c r="GU187" s="106"/>
      <c r="GV187" s="106"/>
      <c r="GW187" s="106"/>
      <c r="GX187" s="106"/>
      <c r="GY187" s="106"/>
      <c r="GZ187" s="106"/>
      <c r="HA187" s="106"/>
      <c r="HB187" s="106"/>
      <c r="HC187" s="106"/>
      <c r="HD187" s="106"/>
      <c r="HE187" s="106"/>
      <c r="HF187" s="106"/>
      <c r="HG187" s="106"/>
      <c r="HH187" s="106"/>
      <c r="HI187" s="106"/>
      <c r="HJ187" s="106"/>
      <c r="HK187" s="106"/>
      <c r="HL187" s="106"/>
      <c r="HM187" s="106"/>
      <c r="HN187" s="106"/>
      <c r="HO187" s="106"/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  <c r="IG187" s="106"/>
      <c r="IH187" s="106"/>
      <c r="II187" s="106"/>
      <c r="IJ187" s="106"/>
      <c r="IK187" s="106"/>
      <c r="IL187" s="106"/>
      <c r="IM187" s="106"/>
      <c r="IN187" s="106"/>
      <c r="IO187" s="106"/>
      <c r="IP187" s="106"/>
      <c r="IQ187" s="106"/>
      <c r="IR187" s="106"/>
      <c r="IS187" s="106"/>
      <c r="IT187" s="106"/>
      <c r="IU187" s="106"/>
      <c r="IV187" s="106"/>
    </row>
    <row r="188" spans="1:256" s="104" customFormat="1" ht="12.75">
      <c r="A188" s="104" t="str">
        <f t="shared" si="4"/>
        <v>A2: Grundfutterverzehr Raufutterverzehrer</v>
      </c>
      <c r="B188" s="6" t="s">
        <v>402</v>
      </c>
      <c r="C188" s="571" t="s">
        <v>890</v>
      </c>
      <c r="D188" s="439" t="s">
        <v>1207</v>
      </c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  <c r="DH188" s="106"/>
      <c r="DI188" s="106"/>
      <c r="DJ188" s="106"/>
      <c r="DK188" s="106"/>
      <c r="DL188" s="106"/>
      <c r="DM188" s="106"/>
      <c r="DN188" s="106"/>
      <c r="DO188" s="106"/>
      <c r="DP188" s="106"/>
      <c r="DQ188" s="106"/>
      <c r="DR188" s="106"/>
      <c r="DS188" s="106"/>
      <c r="DT188" s="106"/>
      <c r="DU188" s="106"/>
      <c r="DV188" s="106"/>
      <c r="DW188" s="106"/>
      <c r="DX188" s="106"/>
      <c r="DY188" s="106"/>
      <c r="DZ188" s="106"/>
      <c r="EA188" s="106"/>
      <c r="EB188" s="106"/>
      <c r="EC188" s="106"/>
      <c r="ED188" s="106"/>
      <c r="EE188" s="106"/>
      <c r="EF188" s="106"/>
      <c r="EG188" s="106"/>
      <c r="EH188" s="106"/>
      <c r="EI188" s="106"/>
      <c r="EJ188" s="106"/>
      <c r="EK188" s="106"/>
      <c r="EL188" s="106"/>
      <c r="EM188" s="106"/>
      <c r="EN188" s="106"/>
      <c r="EO188" s="106"/>
      <c r="EP188" s="106"/>
      <c r="EQ188" s="106"/>
      <c r="ER188" s="106"/>
      <c r="ES188" s="106"/>
      <c r="ET188" s="106"/>
      <c r="EU188" s="106"/>
      <c r="EV188" s="106"/>
      <c r="EW188" s="106"/>
      <c r="EX188" s="106"/>
      <c r="EY188" s="106"/>
      <c r="EZ188" s="106"/>
      <c r="FA188" s="106"/>
      <c r="FB188" s="106"/>
      <c r="FC188" s="106"/>
      <c r="FD188" s="106"/>
      <c r="FE188" s="106"/>
      <c r="FF188" s="106"/>
      <c r="FG188" s="106"/>
      <c r="FH188" s="106"/>
      <c r="FI188" s="106"/>
      <c r="FJ188" s="106"/>
      <c r="FK188" s="106"/>
      <c r="FL188" s="106"/>
      <c r="FM188" s="106"/>
      <c r="FN188" s="106"/>
      <c r="FO188" s="106"/>
      <c r="FP188" s="106"/>
      <c r="FQ188" s="106"/>
      <c r="FR188" s="106"/>
      <c r="FS188" s="106"/>
      <c r="FT188" s="106"/>
      <c r="FU188" s="106"/>
      <c r="FV188" s="106"/>
      <c r="FW188" s="106"/>
      <c r="FX188" s="106"/>
      <c r="FY188" s="106"/>
      <c r="FZ188" s="106"/>
      <c r="GA188" s="106"/>
      <c r="GB188" s="106"/>
      <c r="GC188" s="106"/>
      <c r="GD188" s="106"/>
      <c r="GE188" s="106"/>
      <c r="GF188" s="106"/>
      <c r="GG188" s="106"/>
      <c r="GH188" s="106"/>
      <c r="GI188" s="106"/>
      <c r="GJ188" s="106"/>
      <c r="GK188" s="106"/>
      <c r="GL188" s="106"/>
      <c r="GM188" s="106"/>
      <c r="GN188" s="106"/>
      <c r="GO188" s="106"/>
      <c r="GP188" s="106"/>
      <c r="GQ188" s="106"/>
      <c r="GR188" s="106"/>
      <c r="GS188" s="106"/>
      <c r="GT188" s="106"/>
      <c r="GU188" s="106"/>
      <c r="GV188" s="106"/>
      <c r="GW188" s="106"/>
      <c r="GX188" s="106"/>
      <c r="GY188" s="106"/>
      <c r="GZ188" s="106"/>
      <c r="HA188" s="106"/>
      <c r="HB188" s="106"/>
      <c r="HC188" s="106"/>
      <c r="HD188" s="106"/>
      <c r="HE188" s="106"/>
      <c r="HF188" s="106"/>
      <c r="HG188" s="106"/>
      <c r="HH188" s="106"/>
      <c r="HI188" s="106"/>
      <c r="HJ188" s="106"/>
      <c r="HK188" s="106"/>
      <c r="HL188" s="106"/>
      <c r="HM188" s="106"/>
      <c r="HN188" s="106"/>
      <c r="HO188" s="106"/>
      <c r="HP188" s="106"/>
      <c r="HQ188" s="106"/>
      <c r="HR188" s="106"/>
      <c r="HS188" s="106"/>
      <c r="HT188" s="106"/>
      <c r="HU188" s="106"/>
      <c r="HV188" s="106"/>
      <c r="HW188" s="106"/>
      <c r="HX188" s="106"/>
      <c r="HY188" s="106"/>
      <c r="HZ188" s="106"/>
      <c r="IA188" s="106"/>
      <c r="IB188" s="106"/>
      <c r="IC188" s="106"/>
      <c r="ID188" s="106"/>
      <c r="IE188" s="106"/>
      <c r="IF188" s="106"/>
      <c r="IG188" s="106"/>
      <c r="IH188" s="106"/>
      <c r="II188" s="106"/>
      <c r="IJ188" s="106"/>
      <c r="IK188" s="106"/>
      <c r="IL188" s="106"/>
      <c r="IM188" s="106"/>
      <c r="IN188" s="106"/>
      <c r="IO188" s="106"/>
      <c r="IP188" s="106"/>
      <c r="IQ188" s="106"/>
      <c r="IR188" s="106"/>
      <c r="IS188" s="106"/>
      <c r="IT188" s="106"/>
      <c r="IU188" s="106"/>
      <c r="IV188" s="106"/>
    </row>
    <row r="189" spans="1:256" s="104" customFormat="1" ht="12.75">
      <c r="A189" s="104" t="str">
        <f t="shared" si="4"/>
        <v>A3: Wiesen-/Weidefutterverzehr übrige Tiere</v>
      </c>
      <c r="B189" s="6" t="s">
        <v>1013</v>
      </c>
      <c r="C189" s="571" t="s">
        <v>1012</v>
      </c>
      <c r="D189" s="439" t="s">
        <v>1208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  <c r="DV189" s="106"/>
      <c r="DW189" s="106"/>
      <c r="DX189" s="106"/>
      <c r="DY189" s="106"/>
      <c r="DZ189" s="106"/>
      <c r="EA189" s="106"/>
      <c r="EB189" s="106"/>
      <c r="EC189" s="106"/>
      <c r="ED189" s="106"/>
      <c r="EE189" s="106"/>
      <c r="EF189" s="106"/>
      <c r="EG189" s="106"/>
      <c r="EH189" s="106"/>
      <c r="EI189" s="106"/>
      <c r="EJ189" s="106"/>
      <c r="EK189" s="106"/>
      <c r="EL189" s="106"/>
      <c r="EM189" s="106"/>
      <c r="EN189" s="106"/>
      <c r="EO189" s="106"/>
      <c r="EP189" s="106"/>
      <c r="EQ189" s="106"/>
      <c r="ER189" s="106"/>
      <c r="ES189" s="106"/>
      <c r="ET189" s="106"/>
      <c r="EU189" s="106"/>
      <c r="EV189" s="106"/>
      <c r="EW189" s="106"/>
      <c r="EX189" s="106"/>
      <c r="EY189" s="106"/>
      <c r="EZ189" s="106"/>
      <c r="FA189" s="106"/>
      <c r="FB189" s="106"/>
      <c r="FC189" s="106"/>
      <c r="FD189" s="106"/>
      <c r="FE189" s="106"/>
      <c r="FF189" s="106"/>
      <c r="FG189" s="106"/>
      <c r="FH189" s="106"/>
      <c r="FI189" s="106"/>
      <c r="FJ189" s="106"/>
      <c r="FK189" s="106"/>
      <c r="FL189" s="106"/>
      <c r="FM189" s="106"/>
      <c r="FN189" s="106"/>
      <c r="FO189" s="106"/>
      <c r="FP189" s="106"/>
      <c r="FQ189" s="106"/>
      <c r="FR189" s="106"/>
      <c r="FS189" s="106"/>
      <c r="FT189" s="106"/>
      <c r="FU189" s="106"/>
      <c r="FV189" s="106"/>
      <c r="FW189" s="106"/>
      <c r="FX189" s="106"/>
      <c r="FY189" s="106"/>
      <c r="FZ189" s="106"/>
      <c r="GA189" s="106"/>
      <c r="GB189" s="106"/>
      <c r="GC189" s="106"/>
      <c r="GD189" s="106"/>
      <c r="GE189" s="106"/>
      <c r="GF189" s="106"/>
      <c r="GG189" s="106"/>
      <c r="GH189" s="106"/>
      <c r="GI189" s="106"/>
      <c r="GJ189" s="106"/>
      <c r="GK189" s="106"/>
      <c r="GL189" s="106"/>
      <c r="GM189" s="106"/>
      <c r="GN189" s="106"/>
      <c r="GO189" s="106"/>
      <c r="GP189" s="106"/>
      <c r="GQ189" s="106"/>
      <c r="GR189" s="106"/>
      <c r="GS189" s="106"/>
      <c r="GT189" s="106"/>
      <c r="GU189" s="106"/>
      <c r="GV189" s="106"/>
      <c r="GW189" s="106"/>
      <c r="GX189" s="106"/>
      <c r="GY189" s="106"/>
      <c r="GZ189" s="106"/>
      <c r="HA189" s="106"/>
      <c r="HB189" s="106"/>
      <c r="HC189" s="106"/>
      <c r="HD189" s="106"/>
      <c r="HE189" s="106"/>
      <c r="HF189" s="106"/>
      <c r="HG189" s="106"/>
      <c r="HH189" s="106"/>
      <c r="HI189" s="106"/>
      <c r="HJ189" s="106"/>
      <c r="HK189" s="106"/>
      <c r="HL189" s="106"/>
      <c r="HM189" s="106"/>
      <c r="HN189" s="106"/>
      <c r="HO189" s="106"/>
      <c r="HP189" s="106"/>
      <c r="HQ189" s="106"/>
      <c r="HR189" s="106"/>
      <c r="HS189" s="106"/>
      <c r="HT189" s="106"/>
      <c r="HU189" s="106"/>
      <c r="HV189" s="106"/>
      <c r="HW189" s="106"/>
      <c r="HX189" s="106"/>
      <c r="HY189" s="106"/>
      <c r="HZ189" s="106"/>
      <c r="IA189" s="106"/>
      <c r="IB189" s="106"/>
      <c r="IC189" s="106"/>
      <c r="ID189" s="106"/>
      <c r="IE189" s="106"/>
      <c r="IF189" s="106"/>
      <c r="IG189" s="106"/>
      <c r="IH189" s="106"/>
      <c r="II189" s="106"/>
      <c r="IJ189" s="106"/>
      <c r="IK189" s="106"/>
      <c r="IL189" s="106"/>
      <c r="IM189" s="106"/>
      <c r="IN189" s="106"/>
      <c r="IO189" s="106"/>
      <c r="IP189" s="106"/>
      <c r="IQ189" s="106"/>
      <c r="IR189" s="106"/>
      <c r="IS189" s="106"/>
      <c r="IT189" s="106"/>
      <c r="IU189" s="106"/>
      <c r="IV189" s="106"/>
    </row>
    <row r="190" spans="1:256" s="104" customFormat="1" ht="12.75">
      <c r="A190" s="104" t="str">
        <f t="shared" si="4"/>
        <v>A4: Kraftfutterverzehr der berechtigten Kategorien</v>
      </c>
      <c r="B190" s="6" t="s">
        <v>389</v>
      </c>
      <c r="C190" s="571" t="s">
        <v>880</v>
      </c>
      <c r="D190" s="439" t="s">
        <v>1209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M190" s="106"/>
      <c r="EN190" s="106"/>
      <c r="EO190" s="106"/>
      <c r="EP190" s="106"/>
      <c r="EQ190" s="106"/>
      <c r="ER190" s="106"/>
      <c r="ES190" s="106"/>
      <c r="ET190" s="106"/>
      <c r="EU190" s="106"/>
      <c r="EV190" s="106"/>
      <c r="EW190" s="106"/>
      <c r="EX190" s="106"/>
      <c r="EY190" s="106"/>
      <c r="EZ190" s="106"/>
      <c r="FA190" s="106"/>
      <c r="FB190" s="106"/>
      <c r="FC190" s="106"/>
      <c r="FD190" s="106"/>
      <c r="FE190" s="106"/>
      <c r="FF190" s="106"/>
      <c r="FG190" s="106"/>
      <c r="FH190" s="106"/>
      <c r="FI190" s="106"/>
      <c r="FJ190" s="106"/>
      <c r="FK190" s="106"/>
      <c r="FL190" s="106"/>
      <c r="FM190" s="106"/>
      <c r="FN190" s="106"/>
      <c r="FO190" s="106"/>
      <c r="FP190" s="106"/>
      <c r="FQ190" s="106"/>
      <c r="FR190" s="106"/>
      <c r="FS190" s="106"/>
      <c r="FT190" s="106"/>
      <c r="FU190" s="106"/>
      <c r="FV190" s="106"/>
      <c r="FW190" s="106"/>
      <c r="FX190" s="106"/>
      <c r="FY190" s="106"/>
      <c r="FZ190" s="106"/>
      <c r="GA190" s="106"/>
      <c r="GB190" s="106"/>
      <c r="GC190" s="106"/>
      <c r="GD190" s="106"/>
      <c r="GE190" s="106"/>
      <c r="GF190" s="106"/>
      <c r="GG190" s="106"/>
      <c r="GH190" s="106"/>
      <c r="GI190" s="106"/>
      <c r="GJ190" s="106"/>
      <c r="GK190" s="106"/>
      <c r="GL190" s="106"/>
      <c r="GM190" s="106"/>
      <c r="GN190" s="106"/>
      <c r="GO190" s="106"/>
      <c r="GP190" s="106"/>
      <c r="GQ190" s="106"/>
      <c r="GR190" s="106"/>
      <c r="GS190" s="106"/>
      <c r="GT190" s="106"/>
      <c r="GU190" s="106"/>
      <c r="GV190" s="106"/>
      <c r="GW190" s="106"/>
      <c r="GX190" s="106"/>
      <c r="GY190" s="106"/>
      <c r="GZ190" s="106"/>
      <c r="HA190" s="106"/>
      <c r="HB190" s="106"/>
      <c r="HC190" s="106"/>
      <c r="HD190" s="106"/>
      <c r="HE190" s="106"/>
      <c r="HF190" s="106"/>
      <c r="HG190" s="106"/>
      <c r="HH190" s="106"/>
      <c r="HI190" s="106"/>
      <c r="HJ190" s="106"/>
      <c r="HK190" s="106"/>
      <c r="HL190" s="106"/>
      <c r="HM190" s="106"/>
      <c r="HN190" s="106"/>
      <c r="HO190" s="106"/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  <c r="IG190" s="106"/>
      <c r="IH190" s="106"/>
      <c r="II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  <c r="IS190" s="106"/>
      <c r="IT190" s="106"/>
      <c r="IU190" s="106"/>
      <c r="IV190" s="106"/>
    </row>
    <row r="191" spans="1:256" s="104" customFormat="1" ht="12.75">
      <c r="A191" s="104" t="str">
        <f t="shared" si="4"/>
        <v>A5: Gesamtverzehr der Raufutterverzehrer</v>
      </c>
      <c r="B191" s="6" t="s">
        <v>403</v>
      </c>
      <c r="C191" s="571" t="s">
        <v>886</v>
      </c>
      <c r="D191" s="439" t="s">
        <v>1210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106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106"/>
      <c r="EW191" s="106"/>
      <c r="EX191" s="106"/>
      <c r="EY191" s="106"/>
      <c r="EZ191" s="106"/>
      <c r="FA191" s="106"/>
      <c r="FB191" s="106"/>
      <c r="FC191" s="106"/>
      <c r="FD191" s="106"/>
      <c r="FE191" s="106"/>
      <c r="FF191" s="106"/>
      <c r="FG191" s="106"/>
      <c r="FH191" s="106"/>
      <c r="FI191" s="106"/>
      <c r="FJ191" s="106"/>
      <c r="FK191" s="106"/>
      <c r="FL191" s="106"/>
      <c r="FM191" s="106"/>
      <c r="FN191" s="106"/>
      <c r="FO191" s="106"/>
      <c r="FP191" s="106"/>
      <c r="FQ191" s="106"/>
      <c r="FR191" s="106"/>
      <c r="FS191" s="106"/>
      <c r="FT191" s="106"/>
      <c r="FU191" s="106"/>
      <c r="FV191" s="106"/>
      <c r="FW191" s="106"/>
      <c r="FX191" s="106"/>
      <c r="FY191" s="106"/>
      <c r="FZ191" s="106"/>
      <c r="GA191" s="106"/>
      <c r="GB191" s="106"/>
      <c r="GC191" s="106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6"/>
      <c r="GN191" s="106"/>
      <c r="GO191" s="106"/>
      <c r="GP191" s="106"/>
      <c r="GQ191" s="106"/>
      <c r="GR191" s="106"/>
      <c r="GS191" s="106"/>
      <c r="GT191" s="106"/>
      <c r="GU191" s="106"/>
      <c r="GV191" s="106"/>
      <c r="GW191" s="106"/>
      <c r="GX191" s="106"/>
      <c r="GY191" s="106"/>
      <c r="GZ191" s="106"/>
      <c r="HA191" s="106"/>
      <c r="HB191" s="106"/>
      <c r="HC191" s="106"/>
      <c r="HD191" s="106"/>
      <c r="HE191" s="106"/>
      <c r="HF191" s="106"/>
      <c r="HG191" s="106"/>
      <c r="HH191" s="106"/>
      <c r="HI191" s="106"/>
      <c r="HJ191" s="106"/>
      <c r="HK191" s="106"/>
      <c r="HL191" s="106"/>
      <c r="HM191" s="106"/>
      <c r="HN191" s="106"/>
      <c r="HO191" s="106"/>
      <c r="HP191" s="106"/>
      <c r="HQ191" s="106"/>
      <c r="HR191" s="106"/>
      <c r="HS191" s="106"/>
      <c r="HT191" s="106"/>
      <c r="HU191" s="106"/>
      <c r="HV191" s="106"/>
      <c r="HW191" s="106"/>
      <c r="HX191" s="106"/>
      <c r="HY191" s="106"/>
      <c r="HZ191" s="106"/>
      <c r="IA191" s="106"/>
      <c r="IB191" s="106"/>
      <c r="IC191" s="106"/>
      <c r="ID191" s="106"/>
      <c r="IE191" s="106"/>
      <c r="IF191" s="106"/>
      <c r="IG191" s="106"/>
      <c r="IH191" s="106"/>
      <c r="II191" s="106"/>
      <c r="IJ191" s="106"/>
      <c r="IK191" s="106"/>
      <c r="IL191" s="106"/>
      <c r="IM191" s="106"/>
      <c r="IN191" s="106"/>
      <c r="IO191" s="106"/>
      <c r="IP191" s="106"/>
      <c r="IQ191" s="106"/>
      <c r="IR191" s="106"/>
      <c r="IS191" s="106"/>
      <c r="IT191" s="106"/>
      <c r="IU191" s="106"/>
      <c r="IV191" s="106"/>
    </row>
    <row r="192" spans="1:256" s="104" customFormat="1" ht="12.75">
      <c r="A192" s="104" t="str">
        <f t="shared" si="4"/>
        <v>Sömmerung</v>
      </c>
      <c r="B192" s="6" t="s">
        <v>437</v>
      </c>
      <c r="C192" s="473" t="s">
        <v>438</v>
      </c>
      <c r="D192" s="645" t="s">
        <v>439</v>
      </c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106"/>
      <c r="EW192" s="106"/>
      <c r="EX192" s="106"/>
      <c r="EY192" s="106"/>
      <c r="EZ192" s="106"/>
      <c r="FA192" s="106"/>
      <c r="FB192" s="106"/>
      <c r="FC192" s="106"/>
      <c r="FD192" s="106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  <c r="HM192" s="106"/>
      <c r="HN192" s="106"/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  <c r="IG192" s="106"/>
      <c r="IH192" s="106"/>
      <c r="II192" s="106"/>
      <c r="IJ192" s="106"/>
      <c r="IK192" s="106"/>
      <c r="IL192" s="106"/>
      <c r="IM192" s="106"/>
      <c r="IN192" s="106"/>
      <c r="IO192" s="106"/>
      <c r="IP192" s="106"/>
      <c r="IQ192" s="106"/>
      <c r="IR192" s="106"/>
      <c r="IS192" s="106"/>
      <c r="IT192" s="106"/>
      <c r="IU192" s="106"/>
      <c r="IV192" s="106"/>
    </row>
    <row r="193" spans="1:256" s="104" customFormat="1" ht="12.75">
      <c r="A193" s="104" t="str">
        <f t="shared" si="4"/>
        <v>A6: Grundfutterverzehr Raufutterverzehrer</v>
      </c>
      <c r="B193" s="6" t="s">
        <v>453</v>
      </c>
      <c r="C193" s="473" t="s">
        <v>454</v>
      </c>
      <c r="D193" s="645" t="s">
        <v>1211</v>
      </c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106"/>
      <c r="DJ193" s="106"/>
      <c r="DK193" s="106"/>
      <c r="DL193" s="106"/>
      <c r="DM193" s="106"/>
      <c r="DN193" s="106"/>
      <c r="DO193" s="106"/>
      <c r="DP193" s="106"/>
      <c r="DQ193" s="106"/>
      <c r="DR193" s="106"/>
      <c r="DS193" s="106"/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106"/>
      <c r="FG193" s="106"/>
      <c r="FH193" s="106"/>
      <c r="FI193" s="106"/>
      <c r="FJ193" s="106"/>
      <c r="FK193" s="106"/>
      <c r="FL193" s="106"/>
      <c r="FM193" s="106"/>
      <c r="FN193" s="106"/>
      <c r="FO193" s="106"/>
      <c r="FP193" s="106"/>
      <c r="FQ193" s="106"/>
      <c r="FR193" s="106"/>
      <c r="FS193" s="106"/>
      <c r="FT193" s="106"/>
      <c r="FU193" s="106"/>
      <c r="FV193" s="106"/>
      <c r="FW193" s="106"/>
      <c r="FX193" s="106"/>
      <c r="FY193" s="106"/>
      <c r="FZ193" s="106"/>
      <c r="GA193" s="106"/>
      <c r="GB193" s="106"/>
      <c r="GC193" s="106"/>
      <c r="GD193" s="106"/>
      <c r="GE193" s="106"/>
      <c r="GF193" s="106"/>
      <c r="GG193" s="106"/>
      <c r="GH193" s="106"/>
      <c r="GI193" s="106"/>
      <c r="GJ193" s="106"/>
      <c r="GK193" s="106"/>
      <c r="GL193" s="106"/>
      <c r="GM193" s="106"/>
      <c r="GN193" s="106"/>
      <c r="GO193" s="106"/>
      <c r="GP193" s="106"/>
      <c r="GQ193" s="106"/>
      <c r="GR193" s="106"/>
      <c r="GS193" s="106"/>
      <c r="GT193" s="106"/>
      <c r="GU193" s="106"/>
      <c r="GV193" s="106"/>
      <c r="GW193" s="106"/>
      <c r="GX193" s="106"/>
      <c r="GY193" s="106"/>
      <c r="GZ193" s="106"/>
      <c r="HA193" s="106"/>
      <c r="HB193" s="106"/>
      <c r="HC193" s="106"/>
      <c r="HD193" s="106"/>
      <c r="HE193" s="106"/>
      <c r="HF193" s="106"/>
      <c r="HG193" s="106"/>
      <c r="HH193" s="106"/>
      <c r="HI193" s="106"/>
      <c r="HJ193" s="106"/>
      <c r="HK193" s="106"/>
      <c r="HL193" s="106"/>
      <c r="HM193" s="106"/>
      <c r="HN193" s="106"/>
      <c r="HO193" s="106"/>
      <c r="HP193" s="106"/>
      <c r="HQ193" s="106"/>
      <c r="HR193" s="106"/>
      <c r="HS193" s="106"/>
      <c r="HT193" s="106"/>
      <c r="HU193" s="106"/>
      <c r="HV193" s="106"/>
      <c r="HW193" s="106"/>
      <c r="HX193" s="106"/>
      <c r="HY193" s="106"/>
      <c r="HZ193" s="106"/>
      <c r="IA193" s="106"/>
      <c r="IB193" s="106"/>
      <c r="IC193" s="106"/>
      <c r="ID193" s="106"/>
      <c r="IE193" s="106"/>
      <c r="IF193" s="106"/>
      <c r="IG193" s="106"/>
      <c r="IH193" s="106"/>
      <c r="II193" s="106"/>
      <c r="IJ193" s="106"/>
      <c r="IK193" s="106"/>
      <c r="IL193" s="106"/>
      <c r="IM193" s="106"/>
      <c r="IN193" s="106"/>
      <c r="IO193" s="106"/>
      <c r="IP193" s="106"/>
      <c r="IQ193" s="106"/>
      <c r="IR193" s="106"/>
      <c r="IS193" s="106"/>
      <c r="IT193" s="106"/>
      <c r="IU193" s="106"/>
      <c r="IV193" s="106"/>
    </row>
    <row r="194" spans="1:256" s="104" customFormat="1" ht="12.75">
      <c r="A194" s="104" t="str">
        <f t="shared" si="4"/>
        <v>A7: Kraftfutterverzehr berechtigte Kategorien</v>
      </c>
      <c r="B194" s="6" t="s">
        <v>455</v>
      </c>
      <c r="C194" s="473" t="s">
        <v>456</v>
      </c>
      <c r="D194" s="645" t="s">
        <v>1212</v>
      </c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106"/>
      <c r="DJ194" s="106"/>
      <c r="DK194" s="106"/>
      <c r="DL194" s="106"/>
      <c r="DM194" s="106"/>
      <c r="DN194" s="106"/>
      <c r="DO194" s="106"/>
      <c r="DP194" s="106"/>
      <c r="DQ194" s="106"/>
      <c r="DR194" s="106"/>
      <c r="DS194" s="106"/>
      <c r="DT194" s="106"/>
      <c r="DU194" s="106"/>
      <c r="DV194" s="106"/>
      <c r="DW194" s="106"/>
      <c r="DX194" s="106"/>
      <c r="DY194" s="106"/>
      <c r="DZ194" s="106"/>
      <c r="EA194" s="106"/>
      <c r="EB194" s="106"/>
      <c r="EC194" s="106"/>
      <c r="ED194" s="106"/>
      <c r="EE194" s="106"/>
      <c r="EF194" s="106"/>
      <c r="EG194" s="106"/>
      <c r="EH194" s="106"/>
      <c r="EI194" s="106"/>
      <c r="EJ194" s="106"/>
      <c r="EK194" s="106"/>
      <c r="EL194" s="106"/>
      <c r="EM194" s="106"/>
      <c r="EN194" s="106"/>
      <c r="EO194" s="106"/>
      <c r="EP194" s="106"/>
      <c r="EQ194" s="106"/>
      <c r="ER194" s="106"/>
      <c r="ES194" s="106"/>
      <c r="ET194" s="106"/>
      <c r="EU194" s="106"/>
      <c r="EV194" s="106"/>
      <c r="EW194" s="106"/>
      <c r="EX194" s="106"/>
      <c r="EY194" s="106"/>
      <c r="EZ194" s="106"/>
      <c r="FA194" s="106"/>
      <c r="FB194" s="106"/>
      <c r="FC194" s="106"/>
      <c r="FD194" s="106"/>
      <c r="FE194" s="106"/>
      <c r="FF194" s="106"/>
      <c r="FG194" s="106"/>
      <c r="FH194" s="106"/>
      <c r="FI194" s="106"/>
      <c r="FJ194" s="106"/>
      <c r="FK194" s="106"/>
      <c r="FL194" s="106"/>
      <c r="FM194" s="106"/>
      <c r="FN194" s="106"/>
      <c r="FO194" s="106"/>
      <c r="FP194" s="106"/>
      <c r="FQ194" s="106"/>
      <c r="FR194" s="106"/>
      <c r="FS194" s="106"/>
      <c r="FT194" s="106"/>
      <c r="FU194" s="106"/>
      <c r="FV194" s="106"/>
      <c r="FW194" s="106"/>
      <c r="FX194" s="106"/>
      <c r="FY194" s="106"/>
      <c r="FZ194" s="106"/>
      <c r="GA194" s="106"/>
      <c r="GB194" s="106"/>
      <c r="GC194" s="106"/>
      <c r="GD194" s="106"/>
      <c r="GE194" s="106"/>
      <c r="GF194" s="106"/>
      <c r="GG194" s="106"/>
      <c r="GH194" s="106"/>
      <c r="GI194" s="106"/>
      <c r="GJ194" s="106"/>
      <c r="GK194" s="106"/>
      <c r="GL194" s="106"/>
      <c r="GM194" s="106"/>
      <c r="GN194" s="106"/>
      <c r="GO194" s="106"/>
      <c r="GP194" s="106"/>
      <c r="GQ194" s="106"/>
      <c r="GR194" s="106"/>
      <c r="GS194" s="106"/>
      <c r="GT194" s="106"/>
      <c r="GU194" s="106"/>
      <c r="GV194" s="106"/>
      <c r="GW194" s="106"/>
      <c r="GX194" s="106"/>
      <c r="GY194" s="106"/>
      <c r="GZ194" s="106"/>
      <c r="HA194" s="106"/>
      <c r="HB194" s="106"/>
      <c r="HC194" s="106"/>
      <c r="HD194" s="106"/>
      <c r="HE194" s="106"/>
      <c r="HF194" s="106"/>
      <c r="HG194" s="106"/>
      <c r="HH194" s="106"/>
      <c r="HI194" s="106"/>
      <c r="HJ194" s="106"/>
      <c r="HK194" s="106"/>
      <c r="HL194" s="106"/>
      <c r="HM194" s="106"/>
      <c r="HN194" s="106"/>
      <c r="HO194" s="106"/>
      <c r="HP194" s="106"/>
      <c r="HQ194" s="106"/>
      <c r="HR194" s="106"/>
      <c r="HS194" s="106"/>
      <c r="HT194" s="106"/>
      <c r="HU194" s="106"/>
      <c r="HV194" s="106"/>
      <c r="HW194" s="106"/>
      <c r="HX194" s="106"/>
      <c r="HY194" s="106"/>
      <c r="HZ194" s="106"/>
      <c r="IA194" s="106"/>
      <c r="IB194" s="106"/>
      <c r="IC194" s="106"/>
      <c r="ID194" s="106"/>
      <c r="IE194" s="106"/>
      <c r="IF194" s="106"/>
      <c r="IG194" s="106"/>
      <c r="IH194" s="106"/>
      <c r="II194" s="106"/>
      <c r="IJ194" s="106"/>
      <c r="IK194" s="106"/>
      <c r="IL194" s="106"/>
      <c r="IM194" s="106"/>
      <c r="IN194" s="106"/>
      <c r="IO194" s="106"/>
      <c r="IP194" s="106"/>
      <c r="IQ194" s="106"/>
      <c r="IR194" s="106"/>
      <c r="IS194" s="106"/>
      <c r="IT194" s="106"/>
      <c r="IU194" s="106"/>
      <c r="IV194" s="106"/>
    </row>
    <row r="195" spans="1:256" s="104" customFormat="1" ht="12.75">
      <c r="A195" s="104" t="str">
        <f t="shared" si="4"/>
        <v>A8: Sömmerungstage gemäss AniCalc (TVD-Auszug)</v>
      </c>
      <c r="B195" s="104" t="s">
        <v>457</v>
      </c>
      <c r="C195" s="473" t="s">
        <v>458</v>
      </c>
      <c r="D195" s="104" t="s">
        <v>1106</v>
      </c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6"/>
      <c r="CH195" s="106"/>
      <c r="CI195" s="106"/>
      <c r="CJ195" s="106"/>
      <c r="CK195" s="106"/>
      <c r="CL195" s="106"/>
      <c r="CM195" s="106"/>
      <c r="CN195" s="106"/>
      <c r="CO195" s="106"/>
      <c r="CP195" s="106"/>
      <c r="CQ195" s="106"/>
      <c r="CR195" s="106"/>
      <c r="CS195" s="106"/>
      <c r="CT195" s="106"/>
      <c r="CU195" s="106"/>
      <c r="CV195" s="106"/>
      <c r="CW195" s="106"/>
      <c r="CX195" s="106"/>
      <c r="CY195" s="106"/>
      <c r="CZ195" s="106"/>
      <c r="DA195" s="106"/>
      <c r="DB195" s="106"/>
      <c r="DC195" s="106"/>
      <c r="DD195" s="106"/>
      <c r="DE195" s="106"/>
      <c r="DF195" s="106"/>
      <c r="DG195" s="106"/>
      <c r="DH195" s="106"/>
      <c r="DI195" s="106"/>
      <c r="DJ195" s="106"/>
      <c r="DK195" s="106"/>
      <c r="DL195" s="106"/>
      <c r="DM195" s="106"/>
      <c r="DN195" s="106"/>
      <c r="DO195" s="106"/>
      <c r="DP195" s="106"/>
      <c r="DQ195" s="106"/>
      <c r="DR195" s="106"/>
      <c r="DS195" s="106"/>
      <c r="DT195" s="106"/>
      <c r="DU195" s="106"/>
      <c r="DV195" s="106"/>
      <c r="DW195" s="106"/>
      <c r="DX195" s="106"/>
      <c r="DY195" s="106"/>
      <c r="DZ195" s="106"/>
      <c r="EA195" s="106"/>
      <c r="EB195" s="106"/>
      <c r="EC195" s="106"/>
      <c r="ED195" s="106"/>
      <c r="EE195" s="106"/>
      <c r="EF195" s="106"/>
      <c r="EG195" s="106"/>
      <c r="EH195" s="106"/>
      <c r="EI195" s="106"/>
      <c r="EJ195" s="106"/>
      <c r="EK195" s="106"/>
      <c r="EL195" s="106"/>
      <c r="EM195" s="106"/>
      <c r="EN195" s="106"/>
      <c r="EO195" s="106"/>
      <c r="EP195" s="106"/>
      <c r="EQ195" s="106"/>
      <c r="ER195" s="106"/>
      <c r="ES195" s="106"/>
      <c r="ET195" s="106"/>
      <c r="EU195" s="106"/>
      <c r="EV195" s="106"/>
      <c r="EW195" s="106"/>
      <c r="EX195" s="106"/>
      <c r="EY195" s="106"/>
      <c r="EZ195" s="106"/>
      <c r="FA195" s="106"/>
      <c r="FB195" s="106"/>
      <c r="FC195" s="106"/>
      <c r="FD195" s="106"/>
      <c r="FE195" s="106"/>
      <c r="FF195" s="106"/>
      <c r="FG195" s="106"/>
      <c r="FH195" s="106"/>
      <c r="FI195" s="106"/>
      <c r="FJ195" s="106"/>
      <c r="FK195" s="106"/>
      <c r="FL195" s="106"/>
      <c r="FM195" s="106"/>
      <c r="FN195" s="106"/>
      <c r="FO195" s="106"/>
      <c r="FP195" s="106"/>
      <c r="FQ195" s="106"/>
      <c r="FR195" s="106"/>
      <c r="FS195" s="106"/>
      <c r="FT195" s="106"/>
      <c r="FU195" s="106"/>
      <c r="FV195" s="106"/>
      <c r="FW195" s="106"/>
      <c r="FX195" s="106"/>
      <c r="FY195" s="106"/>
      <c r="FZ195" s="106"/>
      <c r="GA195" s="106"/>
      <c r="GB195" s="106"/>
      <c r="GC195" s="106"/>
      <c r="GD195" s="106"/>
      <c r="GE195" s="106"/>
      <c r="GF195" s="106"/>
      <c r="GG195" s="106"/>
      <c r="GH195" s="106"/>
      <c r="GI195" s="106"/>
      <c r="GJ195" s="106"/>
      <c r="GK195" s="106"/>
      <c r="GL195" s="106"/>
      <c r="GM195" s="106"/>
      <c r="GN195" s="106"/>
      <c r="GO195" s="106"/>
      <c r="GP195" s="106"/>
      <c r="GQ195" s="106"/>
      <c r="GR195" s="106"/>
      <c r="GS195" s="106"/>
      <c r="GT195" s="106"/>
      <c r="GU195" s="106"/>
      <c r="GV195" s="106"/>
      <c r="GW195" s="106"/>
      <c r="GX195" s="106"/>
      <c r="GY195" s="106"/>
      <c r="GZ195" s="106"/>
      <c r="HA195" s="106"/>
      <c r="HB195" s="106"/>
      <c r="HC195" s="106"/>
      <c r="HD195" s="106"/>
      <c r="HE195" s="106"/>
      <c r="HF195" s="106"/>
      <c r="HG195" s="106"/>
      <c r="HH195" s="106"/>
      <c r="HI195" s="106"/>
      <c r="HJ195" s="106"/>
      <c r="HK195" s="106"/>
      <c r="HL195" s="106"/>
      <c r="HM195" s="106"/>
      <c r="HN195" s="106"/>
      <c r="HO195" s="106"/>
      <c r="HP195" s="106"/>
      <c r="HQ195" s="106"/>
      <c r="HR195" s="106"/>
      <c r="HS195" s="106"/>
      <c r="HT195" s="106"/>
      <c r="HU195" s="106"/>
      <c r="HV195" s="106"/>
      <c r="HW195" s="106"/>
      <c r="HX195" s="106"/>
      <c r="HY195" s="106"/>
      <c r="HZ195" s="106"/>
      <c r="IA195" s="106"/>
      <c r="IB195" s="106"/>
      <c r="IC195" s="106"/>
      <c r="ID195" s="106"/>
      <c r="IE195" s="106"/>
      <c r="IF195" s="106"/>
      <c r="IG195" s="106"/>
      <c r="IH195" s="106"/>
      <c r="II195" s="106"/>
      <c r="IJ195" s="106"/>
      <c r="IK195" s="106"/>
      <c r="IL195" s="106"/>
      <c r="IM195" s="106"/>
      <c r="IN195" s="106"/>
      <c r="IO195" s="106"/>
      <c r="IP195" s="106"/>
      <c r="IQ195" s="106"/>
      <c r="IR195" s="106"/>
      <c r="IS195" s="106"/>
      <c r="IT195" s="106"/>
      <c r="IU195" s="106"/>
      <c r="IV195" s="106"/>
    </row>
    <row r="196" spans="2:256" s="104" customFormat="1" ht="12.75">
      <c r="B196" s="6"/>
      <c r="C196" s="106"/>
      <c r="D196" s="439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  <c r="BV196" s="106"/>
      <c r="BW196" s="106"/>
      <c r="BX196" s="106"/>
      <c r="BY196" s="106"/>
      <c r="BZ196" s="106"/>
      <c r="CA196" s="106"/>
      <c r="CB196" s="106"/>
      <c r="CC196" s="106"/>
      <c r="CD196" s="106"/>
      <c r="CE196" s="106"/>
      <c r="CF196" s="106"/>
      <c r="CG196" s="106"/>
      <c r="CH196" s="106"/>
      <c r="CI196" s="106"/>
      <c r="CJ196" s="106"/>
      <c r="CK196" s="106"/>
      <c r="CL196" s="106"/>
      <c r="CM196" s="106"/>
      <c r="CN196" s="106"/>
      <c r="CO196" s="106"/>
      <c r="CP196" s="106"/>
      <c r="CQ196" s="106"/>
      <c r="CR196" s="106"/>
      <c r="CS196" s="106"/>
      <c r="CT196" s="106"/>
      <c r="CU196" s="106"/>
      <c r="CV196" s="106"/>
      <c r="CW196" s="106"/>
      <c r="CX196" s="106"/>
      <c r="CY196" s="106"/>
      <c r="CZ196" s="106"/>
      <c r="DA196" s="106"/>
      <c r="DB196" s="106"/>
      <c r="DC196" s="106"/>
      <c r="DD196" s="106"/>
      <c r="DE196" s="106"/>
      <c r="DF196" s="106"/>
      <c r="DG196" s="106"/>
      <c r="DH196" s="106"/>
      <c r="DI196" s="106"/>
      <c r="DJ196" s="106"/>
      <c r="DK196" s="106"/>
      <c r="DL196" s="106"/>
      <c r="DM196" s="106"/>
      <c r="DN196" s="106"/>
      <c r="DO196" s="106"/>
      <c r="DP196" s="106"/>
      <c r="DQ196" s="106"/>
      <c r="DR196" s="106"/>
      <c r="DS196" s="106"/>
      <c r="DT196" s="106"/>
      <c r="DU196" s="106"/>
      <c r="DV196" s="106"/>
      <c r="DW196" s="106"/>
      <c r="DX196" s="106"/>
      <c r="DY196" s="106"/>
      <c r="DZ196" s="106"/>
      <c r="EA196" s="106"/>
      <c r="EB196" s="106"/>
      <c r="EC196" s="106"/>
      <c r="ED196" s="106"/>
      <c r="EE196" s="106"/>
      <c r="EF196" s="106"/>
      <c r="EG196" s="106"/>
      <c r="EH196" s="106"/>
      <c r="EI196" s="106"/>
      <c r="EJ196" s="106"/>
      <c r="EK196" s="106"/>
      <c r="EL196" s="106"/>
      <c r="EM196" s="106"/>
      <c r="EN196" s="106"/>
      <c r="EO196" s="106"/>
      <c r="EP196" s="106"/>
      <c r="EQ196" s="106"/>
      <c r="ER196" s="106"/>
      <c r="ES196" s="106"/>
      <c r="ET196" s="106"/>
      <c r="EU196" s="106"/>
      <c r="EV196" s="106"/>
      <c r="EW196" s="106"/>
      <c r="EX196" s="106"/>
      <c r="EY196" s="106"/>
      <c r="EZ196" s="106"/>
      <c r="FA196" s="106"/>
      <c r="FB196" s="106"/>
      <c r="FC196" s="106"/>
      <c r="FD196" s="106"/>
      <c r="FE196" s="106"/>
      <c r="FF196" s="106"/>
      <c r="FG196" s="106"/>
      <c r="FH196" s="106"/>
      <c r="FI196" s="106"/>
      <c r="FJ196" s="106"/>
      <c r="FK196" s="106"/>
      <c r="FL196" s="106"/>
      <c r="FM196" s="106"/>
      <c r="FN196" s="106"/>
      <c r="FO196" s="106"/>
      <c r="FP196" s="106"/>
      <c r="FQ196" s="106"/>
      <c r="FR196" s="106"/>
      <c r="FS196" s="106"/>
      <c r="FT196" s="106"/>
      <c r="FU196" s="106"/>
      <c r="FV196" s="106"/>
      <c r="FW196" s="106"/>
      <c r="FX196" s="106"/>
      <c r="FY196" s="106"/>
      <c r="FZ196" s="106"/>
      <c r="GA196" s="106"/>
      <c r="GB196" s="106"/>
      <c r="GC196" s="106"/>
      <c r="GD196" s="106"/>
      <c r="GE196" s="106"/>
      <c r="GF196" s="106"/>
      <c r="GG196" s="106"/>
      <c r="GH196" s="106"/>
      <c r="GI196" s="106"/>
      <c r="GJ196" s="106"/>
      <c r="GK196" s="106"/>
      <c r="GL196" s="106"/>
      <c r="GM196" s="106"/>
      <c r="GN196" s="106"/>
      <c r="GO196" s="106"/>
      <c r="GP196" s="106"/>
      <c r="GQ196" s="106"/>
      <c r="GR196" s="106"/>
      <c r="GS196" s="106"/>
      <c r="GT196" s="106"/>
      <c r="GU196" s="106"/>
      <c r="GV196" s="106"/>
      <c r="GW196" s="106"/>
      <c r="GX196" s="106"/>
      <c r="GY196" s="106"/>
      <c r="GZ196" s="106"/>
      <c r="HA196" s="106"/>
      <c r="HB196" s="106"/>
      <c r="HC196" s="106"/>
      <c r="HD196" s="106"/>
      <c r="HE196" s="106"/>
      <c r="HF196" s="106"/>
      <c r="HG196" s="106"/>
      <c r="HH196" s="106"/>
      <c r="HI196" s="106"/>
      <c r="HJ196" s="106"/>
      <c r="HK196" s="106"/>
      <c r="HL196" s="106"/>
      <c r="HM196" s="106"/>
      <c r="HN196" s="106"/>
      <c r="HO196" s="106"/>
      <c r="HP196" s="106"/>
      <c r="HQ196" s="106"/>
      <c r="HR196" s="106"/>
      <c r="HS196" s="106"/>
      <c r="HT196" s="106"/>
      <c r="HU196" s="106"/>
      <c r="HV196" s="106"/>
      <c r="HW196" s="106"/>
      <c r="HX196" s="106"/>
      <c r="HY196" s="106"/>
      <c r="HZ196" s="106"/>
      <c r="IA196" s="106"/>
      <c r="IB196" s="106"/>
      <c r="IC196" s="106"/>
      <c r="ID196" s="106"/>
      <c r="IE196" s="106"/>
      <c r="IF196" s="106"/>
      <c r="IG196" s="106"/>
      <c r="IH196" s="106"/>
      <c r="II196" s="106"/>
      <c r="IJ196" s="106"/>
      <c r="IK196" s="106"/>
      <c r="IL196" s="106"/>
      <c r="IM196" s="106"/>
      <c r="IN196" s="106"/>
      <c r="IO196" s="106"/>
      <c r="IP196" s="106"/>
      <c r="IQ196" s="106"/>
      <c r="IR196" s="106"/>
      <c r="IS196" s="106"/>
      <c r="IT196" s="106"/>
      <c r="IU196" s="106"/>
      <c r="IV196" s="106"/>
    </row>
    <row r="197" spans="1:4" s="103" customFormat="1" ht="12.75">
      <c r="A197" s="103" t="str">
        <f aca="true" t="shared" si="5" ref="A197:A210">IF($A$2=1,B197,IF($A$2=2,C197,IF($A$2=3,D197,"")))</f>
        <v>Teil B: Grundfutterproduktion</v>
      </c>
      <c r="B197" s="103" t="s">
        <v>392</v>
      </c>
      <c r="C197" s="103" t="s">
        <v>894</v>
      </c>
      <c r="D197" s="438" t="s">
        <v>1213</v>
      </c>
    </row>
    <row r="198" spans="1:4" ht="12.75">
      <c r="A198" s="104" t="str">
        <f t="shared" si="5"/>
        <v>Stand.</v>
      </c>
      <c r="B198" s="6" t="s">
        <v>558</v>
      </c>
      <c r="C198" s="6" t="s">
        <v>714</v>
      </c>
      <c r="D198" s="439" t="s">
        <v>1079</v>
      </c>
    </row>
    <row r="199" spans="1:4" ht="12.75">
      <c r="A199" s="104" t="str">
        <f t="shared" si="5"/>
        <v>Ertrag</v>
      </c>
      <c r="B199" s="6" t="s">
        <v>713</v>
      </c>
      <c r="C199" s="6" t="s">
        <v>554</v>
      </c>
      <c r="D199" s="439" t="s">
        <v>554</v>
      </c>
    </row>
    <row r="200" spans="1:4" ht="12.75">
      <c r="A200" s="104" t="str">
        <f t="shared" si="5"/>
        <v>Ertrag</v>
      </c>
      <c r="B200" s="6" t="s">
        <v>713</v>
      </c>
      <c r="C200" s="6" t="s">
        <v>714</v>
      </c>
      <c r="D200" s="439" t="s">
        <v>1079</v>
      </c>
    </row>
    <row r="201" spans="1:4" ht="12.75">
      <c r="A201" s="104" t="str">
        <f t="shared" si="5"/>
        <v>Fläche</v>
      </c>
      <c r="B201" s="6" t="s">
        <v>712</v>
      </c>
      <c r="C201" s="6" t="s">
        <v>555</v>
      </c>
      <c r="D201" s="439" t="s">
        <v>554</v>
      </c>
    </row>
    <row r="202" spans="1:4" ht="12.75">
      <c r="A202" s="104" t="str">
        <f t="shared" si="5"/>
        <v>dt TS/ha</v>
      </c>
      <c r="B202" s="6" t="s">
        <v>557</v>
      </c>
      <c r="C202" s="6" t="s">
        <v>808</v>
      </c>
      <c r="D202" s="439" t="s">
        <v>1080</v>
      </c>
    </row>
    <row r="203" spans="1:4" ht="12.75">
      <c r="A203" s="104" t="str">
        <f t="shared" si="5"/>
        <v>Menge</v>
      </c>
      <c r="B203" s="6" t="s">
        <v>651</v>
      </c>
      <c r="C203" s="6" t="s">
        <v>556</v>
      </c>
      <c r="D203" s="439" t="s">
        <v>556</v>
      </c>
    </row>
    <row r="204" spans="1:4" ht="12.75">
      <c r="A204" s="104" t="str">
        <f t="shared" si="5"/>
        <v>dt TS</v>
      </c>
      <c r="B204" s="6" t="s">
        <v>584</v>
      </c>
      <c r="C204" s="6" t="s">
        <v>670</v>
      </c>
      <c r="D204" s="439" t="s">
        <v>1025</v>
      </c>
    </row>
    <row r="205" spans="1:4" ht="12.75">
      <c r="A205" s="104" t="str">
        <f t="shared" si="5"/>
        <v>1 = Verkauf</v>
      </c>
      <c r="B205" s="6" t="s">
        <v>682</v>
      </c>
      <c r="C205" s="6" t="s">
        <v>795</v>
      </c>
      <c r="D205" s="439" t="s">
        <v>1081</v>
      </c>
    </row>
    <row r="206" spans="1:4" ht="12.75">
      <c r="A206" s="104" t="str">
        <f t="shared" si="5"/>
        <v>2 = Zukauf</v>
      </c>
      <c r="B206" s="6" t="s">
        <v>683</v>
      </c>
      <c r="C206" s="6" t="s">
        <v>796</v>
      </c>
      <c r="D206" s="439" t="s">
        <v>1082</v>
      </c>
    </row>
    <row r="207" spans="1:4" ht="12.75">
      <c r="A207" s="104" t="str">
        <f t="shared" si="5"/>
        <v>3 = ausserhalb FF</v>
      </c>
      <c r="B207" s="6" t="s">
        <v>684</v>
      </c>
      <c r="C207" s="6" t="s">
        <v>798</v>
      </c>
      <c r="D207" s="439" t="s">
        <v>1083</v>
      </c>
    </row>
    <row r="208" spans="1:4" ht="12.75">
      <c r="A208" s="104" t="str">
        <f t="shared" si="5"/>
        <v>Ganzpflanzenmais, Silomais</v>
      </c>
      <c r="B208" s="6" t="s">
        <v>936</v>
      </c>
      <c r="C208" s="6" t="s">
        <v>895</v>
      </c>
      <c r="D208" s="439" t="s">
        <v>1195</v>
      </c>
    </row>
    <row r="209" spans="1:4" ht="12.75">
      <c r="A209" s="104" t="str">
        <f t="shared" si="5"/>
        <v>Getreide-Silage</v>
      </c>
      <c r="B209" s="6" t="s">
        <v>508</v>
      </c>
      <c r="C209" s="6" t="s">
        <v>506</v>
      </c>
      <c r="D209" s="440" t="s">
        <v>101</v>
      </c>
    </row>
    <row r="210" spans="1:4" ht="12.75">
      <c r="A210" s="104" t="str">
        <f t="shared" si="5"/>
        <v>Getreide-Silage mit Leguminosen</v>
      </c>
      <c r="B210" s="6" t="s">
        <v>509</v>
      </c>
      <c r="C210" s="6" t="s">
        <v>507</v>
      </c>
      <c r="D210" s="440" t="s">
        <v>100</v>
      </c>
    </row>
    <row r="211" spans="1:4" ht="12.75">
      <c r="A211" s="104" t="str">
        <f>IF($A$2=1,B211,IF($A$2=2,C211,IF($A$2=3,D212,"")))</f>
        <v>Futterrüben (ohne Blätter)</v>
      </c>
      <c r="B211" s="6" t="s">
        <v>652</v>
      </c>
      <c r="C211" s="104" t="s">
        <v>653</v>
      </c>
      <c r="D211" s="439" t="s">
        <v>1086</v>
      </c>
    </row>
    <row r="212" spans="1:4" ht="12.75">
      <c r="A212" s="104" t="str">
        <f>IF($A$2=1,B212,IF($A$2=2,C212,IF($A$2=3,D211,"")))</f>
        <v>Grünmais (2. Kultur)</v>
      </c>
      <c r="B212" s="6" t="s">
        <v>937</v>
      </c>
      <c r="C212" s="104" t="s">
        <v>896</v>
      </c>
      <c r="D212" s="439" t="s">
        <v>1085</v>
      </c>
    </row>
    <row r="213" spans="1:4" ht="12.75">
      <c r="A213" s="104" t="str">
        <f aca="true" t="shared" si="6" ref="A213:A244">IF($A$2=1,B213,IF($A$2=2,C213,IF($A$2=3,D213,"")))</f>
        <v>Verfüttertes Stroh (nur betriebseigenes)</v>
      </c>
      <c r="B213" s="6" t="s">
        <v>421</v>
      </c>
      <c r="C213" s="6" t="s">
        <v>897</v>
      </c>
      <c r="D213" s="439" t="s">
        <v>1087</v>
      </c>
    </row>
    <row r="214" spans="1:4" ht="12.75">
      <c r="A214" s="104" t="str">
        <f t="shared" si="6"/>
        <v>Verfütterte Rübenblätter (nur betriebseigene)</v>
      </c>
      <c r="B214" s="6" t="s">
        <v>422</v>
      </c>
      <c r="C214" s="6" t="s">
        <v>423</v>
      </c>
      <c r="D214" s="439" t="s">
        <v>1088</v>
      </c>
    </row>
    <row r="215" spans="1:5" ht="12.75">
      <c r="A215" s="104" t="str">
        <f t="shared" si="6"/>
        <v>Zwischenfutter, Aeugstlen, Frühjahrsschnitt vor Umbruch</v>
      </c>
      <c r="B215" s="6" t="s">
        <v>739</v>
      </c>
      <c r="C215" s="6" t="s">
        <v>898</v>
      </c>
      <c r="D215" s="439" t="s">
        <v>1225</v>
      </c>
      <c r="E215" s="6" t="s">
        <v>1201</v>
      </c>
    </row>
    <row r="216" spans="1:4" ht="12.75">
      <c r="A216" s="104" t="str">
        <f t="shared" si="6"/>
        <v>Samenproduktion: Leguminosen Reinbestand</v>
      </c>
      <c r="B216" s="6" t="s">
        <v>654</v>
      </c>
      <c r="C216" s="6" t="s">
        <v>655</v>
      </c>
      <c r="D216" s="439" t="s">
        <v>1089</v>
      </c>
    </row>
    <row r="217" spans="1:4" ht="12.75">
      <c r="A217" s="104" t="str">
        <f t="shared" si="6"/>
        <v>Samenproduktion: Gras Reinbestand</v>
      </c>
      <c r="B217" s="6" t="s">
        <v>656</v>
      </c>
      <c r="C217" s="6" t="s">
        <v>657</v>
      </c>
      <c r="D217" s="439" t="s">
        <v>1090</v>
      </c>
    </row>
    <row r="218" spans="1:4" ht="12.75">
      <c r="A218" s="104" t="str">
        <f t="shared" si="6"/>
        <v>Extensive Wiesen</v>
      </c>
      <c r="B218" s="6" t="s">
        <v>658</v>
      </c>
      <c r="C218" s="6" t="s">
        <v>659</v>
      </c>
      <c r="D218" s="439" t="s">
        <v>1091</v>
      </c>
    </row>
    <row r="219" spans="1:4" ht="12.75">
      <c r="A219" s="104" t="str">
        <f t="shared" si="6"/>
        <v>Übrige Wiesen mit Düngeverbot</v>
      </c>
      <c r="B219" s="6" t="s">
        <v>715</v>
      </c>
      <c r="C219" s="6" t="s">
        <v>703</v>
      </c>
      <c r="D219" s="439" t="s">
        <v>1092</v>
      </c>
    </row>
    <row r="220" spans="1:4" ht="12.75">
      <c r="A220" s="104" t="str">
        <f t="shared" si="6"/>
        <v>Extensive Weiden, Waldweiden</v>
      </c>
      <c r="B220" s="6" t="s">
        <v>660</v>
      </c>
      <c r="C220" s="6" t="s">
        <v>661</v>
      </c>
      <c r="D220" s="439" t="s">
        <v>1093</v>
      </c>
    </row>
    <row r="221" spans="1:4" ht="12.75">
      <c r="A221" s="104" t="str">
        <f t="shared" si="6"/>
        <v>Wiesen und Weiden</v>
      </c>
      <c r="B221" s="6" t="s">
        <v>704</v>
      </c>
      <c r="C221" s="6" t="s">
        <v>705</v>
      </c>
      <c r="D221" s="439" t="s">
        <v>1094</v>
      </c>
    </row>
    <row r="222" spans="1:4" ht="12.75">
      <c r="A222" s="104" t="str">
        <f t="shared" si="6"/>
        <v>wenig intensiv (1-3 Nutzungen)</v>
      </c>
      <c r="B222" s="6" t="s">
        <v>605</v>
      </c>
      <c r="C222" s="6" t="s">
        <v>810</v>
      </c>
      <c r="D222" s="439" t="s">
        <v>1095</v>
      </c>
    </row>
    <row r="223" spans="1:4" ht="12.75">
      <c r="A223" s="104" t="str">
        <f t="shared" si="6"/>
        <v>mittelintensiv (1-4 Nutzungen)</v>
      </c>
      <c r="B223" s="6" t="s">
        <v>606</v>
      </c>
      <c r="C223" s="6" t="s">
        <v>812</v>
      </c>
      <c r="D223" s="439" t="s">
        <v>1226</v>
      </c>
    </row>
    <row r="224" spans="1:4" ht="12.75">
      <c r="A224" s="104" t="str">
        <f t="shared" si="6"/>
        <v>intensive (2-6 Nutzungen)</v>
      </c>
      <c r="B224" s="6" t="s">
        <v>607</v>
      </c>
      <c r="C224" s="6" t="s">
        <v>813</v>
      </c>
      <c r="D224" s="439" t="s">
        <v>1096</v>
      </c>
    </row>
    <row r="225" spans="1:4" ht="12.75">
      <c r="A225" s="104" t="str">
        <f t="shared" si="6"/>
        <v>Grünfläche</v>
      </c>
      <c r="B225" s="6" t="s">
        <v>823</v>
      </c>
      <c r="C225" s="6" t="s">
        <v>842</v>
      </c>
      <c r="D225" s="439" t="s">
        <v>1097</v>
      </c>
    </row>
    <row r="226" spans="1:4" ht="12.75">
      <c r="A226" s="104" t="str">
        <f t="shared" si="6"/>
        <v>Zwischenfutterfläche</v>
      </c>
      <c r="B226" s="6" t="s">
        <v>386</v>
      </c>
      <c r="C226" s="6" t="s">
        <v>899</v>
      </c>
      <c r="D226" s="439" t="s">
        <v>1098</v>
      </c>
    </row>
    <row r="227" spans="1:4" ht="12.75">
      <c r="A227" s="104" t="str">
        <f t="shared" si="6"/>
        <v>B1: Grundfutterproduktion total</v>
      </c>
      <c r="B227" s="6" t="s">
        <v>391</v>
      </c>
      <c r="C227" s="6" t="s">
        <v>900</v>
      </c>
      <c r="D227" s="439" t="s">
        <v>1110</v>
      </c>
    </row>
    <row r="228" spans="1:4" ht="12.75">
      <c r="A228" s="104" t="str">
        <f t="shared" si="6"/>
        <v>B2: Grundfutterproduktion Wiesen und Weiden</v>
      </c>
      <c r="B228" s="6" t="s">
        <v>709</v>
      </c>
      <c r="C228" s="6" t="s">
        <v>901</v>
      </c>
      <c r="D228" s="439" t="s">
        <v>1214</v>
      </c>
    </row>
    <row r="229" spans="1:4" ht="12.75">
      <c r="A229" s="104" t="str">
        <f t="shared" si="6"/>
        <v>B3: Grundfutterproduktion übrige</v>
      </c>
      <c r="B229" s="6" t="s">
        <v>694</v>
      </c>
      <c r="C229" s="6" t="s">
        <v>695</v>
      </c>
      <c r="D229" s="439" t="s">
        <v>1111</v>
      </c>
    </row>
    <row r="230" spans="1:4" ht="12.75">
      <c r="A230" s="104" t="str">
        <f t="shared" si="6"/>
        <v>Maximalertrag ist überschritten!</v>
      </c>
      <c r="B230" s="6" t="s">
        <v>830</v>
      </c>
      <c r="C230" s="6" t="s">
        <v>831</v>
      </c>
      <c r="D230" s="439" t="s">
        <v>1112</v>
      </c>
    </row>
    <row r="231" spans="1:4" ht="12.75">
      <c r="A231" s="104" t="str">
        <f t="shared" si="6"/>
        <v>Angaben für Mindesttierbesatz</v>
      </c>
      <c r="B231" s="6" t="s">
        <v>302</v>
      </c>
      <c r="C231" s="6" t="s">
        <v>303</v>
      </c>
      <c r="D231" s="439" t="s">
        <v>304</v>
      </c>
    </row>
    <row r="232" spans="1:4" ht="12.75">
      <c r="A232" s="104" t="str">
        <f t="shared" si="6"/>
        <v>tierbesatz</v>
      </c>
      <c r="B232" s="6" t="s">
        <v>840</v>
      </c>
      <c r="C232" s="6" t="s">
        <v>902</v>
      </c>
      <c r="D232" s="439" t="s">
        <v>1223</v>
      </c>
    </row>
    <row r="233" spans="1:4" ht="12.75">
      <c r="A233" s="104" t="str">
        <f t="shared" si="6"/>
        <v>Dauergrünland</v>
      </c>
      <c r="B233" s="6" t="s">
        <v>835</v>
      </c>
      <c r="C233" s="6" t="s">
        <v>841</v>
      </c>
      <c r="D233" s="439" t="s">
        <v>1227</v>
      </c>
    </row>
    <row r="234" spans="1:4" ht="12.75">
      <c r="A234" s="104" t="str">
        <f t="shared" si="6"/>
        <v>Kunstwiesen</v>
      </c>
      <c r="B234" s="6" t="s">
        <v>834</v>
      </c>
      <c r="C234" s="6" t="s">
        <v>904</v>
      </c>
      <c r="D234" s="439" t="s">
        <v>1113</v>
      </c>
    </row>
    <row r="235" spans="1:4" ht="12.75">
      <c r="A235" s="104" t="str">
        <f t="shared" si="6"/>
        <v>BFF</v>
      </c>
      <c r="B235" s="6" t="s">
        <v>836</v>
      </c>
      <c r="C235" s="6" t="s">
        <v>838</v>
      </c>
      <c r="D235" s="439" t="s">
        <v>838</v>
      </c>
    </row>
    <row r="236" spans="1:4" ht="12.75">
      <c r="A236" s="104" t="str">
        <f t="shared" si="6"/>
        <v>Talzone</v>
      </c>
      <c r="B236" s="6" t="s">
        <v>744</v>
      </c>
      <c r="C236" s="6" t="s">
        <v>728</v>
      </c>
      <c r="D236" s="439" t="s">
        <v>986</v>
      </c>
    </row>
    <row r="237" spans="1:4" ht="12.75">
      <c r="A237" s="104" t="str">
        <f t="shared" si="6"/>
        <v>Hügelzone</v>
      </c>
      <c r="B237" s="6" t="s">
        <v>745</v>
      </c>
      <c r="C237" s="6" t="s">
        <v>746</v>
      </c>
      <c r="D237" s="439" t="s">
        <v>987</v>
      </c>
    </row>
    <row r="238" spans="1:4" ht="12.75">
      <c r="A238" s="104" t="str">
        <f t="shared" si="6"/>
        <v>Bergzone 1</v>
      </c>
      <c r="B238" s="6" t="s">
        <v>747</v>
      </c>
      <c r="C238" s="6" t="s">
        <v>748</v>
      </c>
      <c r="D238" s="439" t="s">
        <v>988</v>
      </c>
    </row>
    <row r="239" spans="1:4" ht="12.75">
      <c r="A239" s="104" t="str">
        <f t="shared" si="6"/>
        <v>Bergzone 2</v>
      </c>
      <c r="B239" s="6" t="s">
        <v>749</v>
      </c>
      <c r="C239" s="6" t="s">
        <v>750</v>
      </c>
      <c r="D239" s="439" t="s">
        <v>989</v>
      </c>
    </row>
    <row r="240" spans="1:4" ht="12.75">
      <c r="A240" s="104" t="str">
        <f t="shared" si="6"/>
        <v>Bergzone 3</v>
      </c>
      <c r="B240" s="6" t="s">
        <v>751</v>
      </c>
      <c r="C240" s="6" t="s">
        <v>757</v>
      </c>
      <c r="D240" s="439" t="s">
        <v>990</v>
      </c>
    </row>
    <row r="241" spans="1:4" ht="12.75">
      <c r="A241" s="104" t="str">
        <f t="shared" si="6"/>
        <v>Bergzone 4</v>
      </c>
      <c r="B241" s="6" t="s">
        <v>758</v>
      </c>
      <c r="C241" s="473" t="s">
        <v>759</v>
      </c>
      <c r="D241" s="647" t="s">
        <v>991</v>
      </c>
    </row>
    <row r="242" spans="1:4" ht="12.75">
      <c r="A242" s="104" t="str">
        <f t="shared" si="6"/>
        <v>Flächen im Ausland</v>
      </c>
      <c r="B242" s="6" t="s">
        <v>1278</v>
      </c>
      <c r="C242" s="473" t="s">
        <v>1277</v>
      </c>
      <c r="D242" s="647" t="s">
        <v>1279</v>
      </c>
    </row>
    <row r="243" spans="1:4" ht="12.75">
      <c r="A243" s="104" t="str">
        <f t="shared" si="6"/>
        <v>Flächendifferenz von:</v>
      </c>
      <c r="B243" s="6" t="s">
        <v>839</v>
      </c>
      <c r="C243" s="473" t="s">
        <v>905</v>
      </c>
      <c r="D243" s="647" t="s">
        <v>1114</v>
      </c>
    </row>
    <row r="244" spans="1:4" ht="12.75">
      <c r="A244" s="104" t="str">
        <f t="shared" si="6"/>
        <v>BFF-Fläche zu hoch</v>
      </c>
      <c r="B244" s="6" t="s">
        <v>1287</v>
      </c>
      <c r="C244" s="473" t="s">
        <v>1297</v>
      </c>
      <c r="D244" s="647" t="s">
        <v>1296</v>
      </c>
    </row>
    <row r="245" spans="1:4" ht="12.75">
      <c r="A245" s="104" t="str">
        <f aca="true" t="shared" si="7" ref="A245:A281">IF($A$2=1,B245,IF($A$2=2,C245,IF($A$2=3,D245,"")))</f>
        <v>Haben Sie keine BFF?</v>
      </c>
      <c r="B245" s="6" t="s">
        <v>1288</v>
      </c>
      <c r="C245" s="473" t="s">
        <v>1294</v>
      </c>
      <c r="D245" s="647" t="s">
        <v>1295</v>
      </c>
    </row>
    <row r="246" spans="1:5" ht="12.75">
      <c r="A246" s="104" t="str">
        <f t="shared" si="7"/>
        <v>Grundfutterbilanz ist nicht ausgeglichen!</v>
      </c>
      <c r="B246" s="6" t="s">
        <v>685</v>
      </c>
      <c r="C246" s="473" t="s">
        <v>686</v>
      </c>
      <c r="D246" s="647" t="s">
        <v>211</v>
      </c>
      <c r="E246" s="439" t="s">
        <v>1078</v>
      </c>
    </row>
    <row r="247" spans="1:5" ht="12.75">
      <c r="A247" s="104" t="str">
        <f t="shared" si="7"/>
        <v>Mutterkuh &amp; Kalb</v>
      </c>
      <c r="B247" s="473" t="s">
        <v>1140</v>
      </c>
      <c r="C247" s="473" t="s">
        <v>1300</v>
      </c>
      <c r="D247" s="645" t="s">
        <v>1334</v>
      </c>
      <c r="E247" s="439"/>
    </row>
    <row r="248" spans="1:5" ht="12.75">
      <c r="A248" s="104" t="str">
        <f t="shared" si="7"/>
        <v>davon verfüttert an</v>
      </c>
      <c r="B248" s="473" t="s">
        <v>752</v>
      </c>
      <c r="C248" s="473" t="s">
        <v>1332</v>
      </c>
      <c r="D248" s="645" t="s">
        <v>1215</v>
      </c>
      <c r="E248" s="439"/>
    </row>
    <row r="249" spans="1:5" ht="12.75">
      <c r="A249" s="104" t="str">
        <f t="shared" si="7"/>
        <v>Mutterkuh &amp; Kalb dt TS</v>
      </c>
      <c r="B249" s="473" t="s">
        <v>753</v>
      </c>
      <c r="C249" s="473" t="s">
        <v>1333</v>
      </c>
      <c r="D249" s="645" t="s">
        <v>1216</v>
      </c>
      <c r="E249" s="439"/>
    </row>
    <row r="250" spans="1:5" ht="12.75">
      <c r="A250" s="104" t="str">
        <f t="shared" si="7"/>
        <v>Menge GF für Kuh &amp; Kalb &gt; Menge GF produziert auf Betrieb</v>
      </c>
      <c r="B250" s="473" t="s">
        <v>538</v>
      </c>
      <c r="C250" s="473" t="s">
        <v>1335</v>
      </c>
      <c r="D250" s="645" t="s">
        <v>1217</v>
      </c>
      <c r="E250" s="439"/>
    </row>
    <row r="251" spans="1:4" ht="16.5">
      <c r="A251" s="104">
        <f t="shared" si="7"/>
        <v>0</v>
      </c>
      <c r="C251" s="473"/>
      <c r="D251" s="437"/>
    </row>
    <row r="252" spans="1:4" s="103" customFormat="1" ht="12.75">
      <c r="A252" s="103" t="str">
        <f t="shared" si="7"/>
        <v>Teil C: Zu- und Wegfuhr Grundfutter</v>
      </c>
      <c r="B252" s="103" t="s">
        <v>553</v>
      </c>
      <c r="C252" s="103" t="s">
        <v>906</v>
      </c>
      <c r="D252" s="438" t="s">
        <v>1115</v>
      </c>
    </row>
    <row r="253" spans="1:4" ht="12.75">
      <c r="A253" s="104" t="str">
        <f t="shared" si="7"/>
        <v>Grundfutterverzehr auf dem Betrieb</v>
      </c>
      <c r="B253" s="6" t="s">
        <v>393</v>
      </c>
      <c r="C253" s="104" t="s">
        <v>907</v>
      </c>
      <c r="D253" s="439" t="s">
        <v>1116</v>
      </c>
    </row>
    <row r="254" spans="1:4" ht="12.75">
      <c r="A254" s="104" t="str">
        <f t="shared" si="7"/>
        <v>Zu- und Wegfuhr von Grundfutter und Grundfutterproduktion ausserhalb der Futterfläche (FF)</v>
      </c>
      <c r="B254" s="6" t="s">
        <v>630</v>
      </c>
      <c r="C254" s="6" t="s">
        <v>786</v>
      </c>
      <c r="D254" s="439" t="s">
        <v>1218</v>
      </c>
    </row>
    <row r="255" spans="1:4" ht="12.75">
      <c r="A255" s="104" t="str">
        <f t="shared" si="7"/>
        <v>Grundfuttertyp</v>
      </c>
      <c r="B255" s="6" t="s">
        <v>603</v>
      </c>
      <c r="C255" s="6" t="s">
        <v>787</v>
      </c>
      <c r="D255" s="439" t="s">
        <v>1117</v>
      </c>
    </row>
    <row r="256" spans="1:4" ht="12.75">
      <c r="A256" s="104" t="str">
        <f t="shared" si="7"/>
        <v>Menge</v>
      </c>
      <c r="B256" s="6" t="s">
        <v>651</v>
      </c>
      <c r="C256" s="6" t="s">
        <v>788</v>
      </c>
      <c r="D256" s="439" t="s">
        <v>1118</v>
      </c>
    </row>
    <row r="257" spans="1:4" ht="12.75">
      <c r="A257" s="104" t="str">
        <f t="shared" si="7"/>
        <v>dt</v>
      </c>
      <c r="B257" s="6" t="s">
        <v>815</v>
      </c>
      <c r="C257" s="6" t="s">
        <v>815</v>
      </c>
      <c r="D257" s="439" t="s">
        <v>1029</v>
      </c>
    </row>
    <row r="258" spans="1:4" ht="12.75">
      <c r="A258" s="104" t="str">
        <f t="shared" si="7"/>
        <v>%</v>
      </c>
      <c r="B258" s="6" t="s">
        <v>817</v>
      </c>
      <c r="C258" s="6" t="s">
        <v>789</v>
      </c>
      <c r="D258" s="439" t="s">
        <v>817</v>
      </c>
    </row>
    <row r="259" spans="1:4" ht="12.75">
      <c r="A259" s="104" t="str">
        <f t="shared" si="7"/>
        <v>TS</v>
      </c>
      <c r="B259" s="6" t="s">
        <v>711</v>
      </c>
      <c r="C259" s="6" t="s">
        <v>793</v>
      </c>
      <c r="D259" s="439" t="s">
        <v>1119</v>
      </c>
    </row>
    <row r="260" spans="1:4" ht="12.75">
      <c r="A260" s="104" t="str">
        <f t="shared" si="7"/>
        <v>Code</v>
      </c>
      <c r="B260" s="6" t="s">
        <v>594</v>
      </c>
      <c r="C260" s="6" t="s">
        <v>594</v>
      </c>
      <c r="D260" s="439" t="s">
        <v>1120</v>
      </c>
    </row>
    <row r="261" spans="1:4" ht="12.75">
      <c r="A261" s="104" t="str">
        <f t="shared" si="7"/>
        <v>Wegfuhr</v>
      </c>
      <c r="B261" s="6" t="s">
        <v>634</v>
      </c>
      <c r="C261" s="6" t="s">
        <v>790</v>
      </c>
      <c r="D261" s="439" t="s">
        <v>1121</v>
      </c>
    </row>
    <row r="262" spans="1:4" ht="12.75">
      <c r="A262" s="104" t="str">
        <f t="shared" si="7"/>
        <v>dt TS</v>
      </c>
      <c r="B262" s="6" t="s">
        <v>584</v>
      </c>
      <c r="C262" s="6" t="s">
        <v>670</v>
      </c>
      <c r="D262" s="439" t="s">
        <v>1025</v>
      </c>
    </row>
    <row r="263" spans="1:4" ht="12.75">
      <c r="A263" s="104" t="str">
        <f t="shared" si="7"/>
        <v>dt FS</v>
      </c>
      <c r="B263" s="6" t="s">
        <v>631</v>
      </c>
      <c r="C263" s="6" t="s">
        <v>632</v>
      </c>
      <c r="D263" s="439" t="s">
        <v>1023</v>
      </c>
    </row>
    <row r="264" spans="1:4" ht="12.75">
      <c r="A264" s="104" t="str">
        <f t="shared" si="7"/>
        <v>TS</v>
      </c>
      <c r="B264" s="6" t="s">
        <v>711</v>
      </c>
      <c r="C264" s="6" t="s">
        <v>633</v>
      </c>
      <c r="D264" s="439" t="s">
        <v>1119</v>
      </c>
    </row>
    <row r="265" spans="1:4" ht="12.75">
      <c r="A265" s="104" t="str">
        <f t="shared" si="7"/>
        <v>Zufuhr</v>
      </c>
      <c r="B265" s="6" t="s">
        <v>635</v>
      </c>
      <c r="C265" s="6" t="s">
        <v>791</v>
      </c>
      <c r="D265" s="439" t="s">
        <v>1122</v>
      </c>
    </row>
    <row r="266" spans="1:4" ht="12.75">
      <c r="A266" s="104" t="str">
        <f t="shared" si="7"/>
        <v>ausser FF</v>
      </c>
      <c r="B266" s="6" t="s">
        <v>819</v>
      </c>
      <c r="C266" s="6" t="s">
        <v>792</v>
      </c>
      <c r="D266" s="439" t="s">
        <v>1123</v>
      </c>
    </row>
    <row r="267" spans="1:4" ht="12.75">
      <c r="A267" s="104" t="str">
        <f t="shared" si="7"/>
        <v>dt TS)</v>
      </c>
      <c r="B267" s="6" t="s">
        <v>638</v>
      </c>
      <c r="C267" s="6" t="s">
        <v>803</v>
      </c>
      <c r="D267" s="439" t="s">
        <v>1124</v>
      </c>
    </row>
    <row r="268" spans="1:4" ht="12.75">
      <c r="A268" s="104" t="str">
        <f t="shared" si="7"/>
        <v>Gras</v>
      </c>
      <c r="B268" s="6" t="s">
        <v>407</v>
      </c>
      <c r="C268" s="6" t="s">
        <v>409</v>
      </c>
      <c r="D268" s="439" t="s">
        <v>1125</v>
      </c>
    </row>
    <row r="269" spans="1:4" ht="12.75">
      <c r="A269" s="104" t="str">
        <f t="shared" si="7"/>
        <v>Grassilage</v>
      </c>
      <c r="B269" s="6" t="s">
        <v>566</v>
      </c>
      <c r="C269" s="6" t="s">
        <v>567</v>
      </c>
      <c r="D269" s="439" t="s">
        <v>1126</v>
      </c>
    </row>
    <row r="270" spans="1:4" ht="12.75">
      <c r="A270" s="104" t="str">
        <f t="shared" si="7"/>
        <v>Graswürfel</v>
      </c>
      <c r="B270" s="6" t="s">
        <v>408</v>
      </c>
      <c r="C270" s="6" t="s">
        <v>908</v>
      </c>
      <c r="D270" s="439" t="s">
        <v>1198</v>
      </c>
    </row>
    <row r="271" spans="1:4" ht="12.75">
      <c r="A271" s="104" t="str">
        <f t="shared" si="7"/>
        <v>Dürrfutter</v>
      </c>
      <c r="B271" s="6" t="s">
        <v>636</v>
      </c>
      <c r="C271" s="6" t="s">
        <v>797</v>
      </c>
      <c r="D271" s="439" t="s">
        <v>1127</v>
      </c>
    </row>
    <row r="272" spans="1:4" ht="12.75">
      <c r="A272" s="104" t="str">
        <f t="shared" si="7"/>
        <v>Dürrfutter, "nährstoffarm"</v>
      </c>
      <c r="B272" s="6" t="s">
        <v>637</v>
      </c>
      <c r="C272" s="6" t="s">
        <v>799</v>
      </c>
      <c r="D272" s="439" t="s">
        <v>1200</v>
      </c>
    </row>
    <row r="273" spans="1:4" ht="12.75">
      <c r="A273" s="104" t="str">
        <f t="shared" si="7"/>
        <v>Getreide-Silage</v>
      </c>
      <c r="B273" s="6" t="s">
        <v>508</v>
      </c>
      <c r="C273" s="6" t="s">
        <v>506</v>
      </c>
      <c r="D273" s="440" t="s">
        <v>101</v>
      </c>
    </row>
    <row r="274" spans="1:4" ht="12.75">
      <c r="A274" s="104" t="str">
        <f t="shared" si="7"/>
        <v>Getreide-Silage mit Leguminosen</v>
      </c>
      <c r="B274" s="6" t="s">
        <v>509</v>
      </c>
      <c r="C274" s="6" t="s">
        <v>507</v>
      </c>
      <c r="D274" s="440" t="s">
        <v>100</v>
      </c>
    </row>
    <row r="275" spans="1:4" ht="12.75">
      <c r="A275" s="104" t="str">
        <f t="shared" si="7"/>
        <v>Silomais</v>
      </c>
      <c r="B275" s="6" t="s">
        <v>716</v>
      </c>
      <c r="C275" s="6" t="s">
        <v>776</v>
      </c>
      <c r="D275" s="439" t="s">
        <v>1084</v>
      </c>
    </row>
    <row r="276" spans="1:4" ht="12.75">
      <c r="A276" s="104" t="str">
        <f t="shared" si="7"/>
        <v>Grünmais</v>
      </c>
      <c r="B276" s="6" t="s">
        <v>596</v>
      </c>
      <c r="C276" s="6" t="s">
        <v>909</v>
      </c>
      <c r="D276" s="439" t="s">
        <v>1085</v>
      </c>
    </row>
    <row r="277" spans="1:4" ht="12.75">
      <c r="A277" s="104" t="str">
        <f t="shared" si="7"/>
        <v>Mais Ganzpflanzenwürfel</v>
      </c>
      <c r="B277" s="6" t="s">
        <v>410</v>
      </c>
      <c r="C277" s="6" t="s">
        <v>910</v>
      </c>
      <c r="D277" s="439" t="s">
        <v>1199</v>
      </c>
    </row>
    <row r="278" spans="1:4" ht="12.75">
      <c r="A278" s="104" t="str">
        <f t="shared" si="7"/>
        <v>CCM (für Rindviehmast)</v>
      </c>
      <c r="B278" s="6" t="s">
        <v>604</v>
      </c>
      <c r="C278" s="6" t="s">
        <v>911</v>
      </c>
      <c r="D278" s="439" t="s">
        <v>1128</v>
      </c>
    </row>
    <row r="279" spans="1:4" ht="12.75">
      <c r="A279" s="104" t="str">
        <f t="shared" si="7"/>
        <v>Futterrüben</v>
      </c>
      <c r="B279" s="6" t="s">
        <v>717</v>
      </c>
      <c r="C279" s="6" t="s">
        <v>800</v>
      </c>
      <c r="D279" s="439" t="s">
        <v>1129</v>
      </c>
    </row>
    <row r="280" spans="1:4" ht="12.75">
      <c r="A280" s="104" t="str">
        <f t="shared" si="7"/>
        <v>Zuckerrüben</v>
      </c>
      <c r="B280" s="6" t="s">
        <v>772</v>
      </c>
      <c r="C280" s="6" t="s">
        <v>801</v>
      </c>
      <c r="D280" s="439" t="s">
        <v>1130</v>
      </c>
    </row>
    <row r="281" spans="1:4" ht="12.75">
      <c r="A281" s="104" t="str">
        <f t="shared" si="7"/>
        <v>Zuckerrübenschnitzel, frisch</v>
      </c>
      <c r="B281" s="6" t="s">
        <v>411</v>
      </c>
      <c r="C281" s="6" t="s">
        <v>412</v>
      </c>
      <c r="D281" s="439" t="s">
        <v>1131</v>
      </c>
    </row>
    <row r="282" spans="1:4" ht="12.75">
      <c r="A282" s="104" t="str">
        <f aca="true" t="shared" si="8" ref="A282:A328">IF($A$2=1,B282,IF($A$2=2,C282,IF($A$2=3,D282,"")))</f>
        <v>Zuckerrübenschnitzel, siliert</v>
      </c>
      <c r="B282" s="6" t="s">
        <v>413</v>
      </c>
      <c r="C282" s="6" t="s">
        <v>415</v>
      </c>
      <c r="D282" s="439" t="s">
        <v>1132</v>
      </c>
    </row>
    <row r="283" spans="1:4" ht="12.75">
      <c r="A283" s="104" t="str">
        <f t="shared" si="8"/>
        <v>Zuckerrübenschnitzel, getrocknet</v>
      </c>
      <c r="B283" s="6" t="s">
        <v>414</v>
      </c>
      <c r="C283" s="6" t="s">
        <v>420</v>
      </c>
      <c r="D283" s="439" t="s">
        <v>1133</v>
      </c>
    </row>
    <row r="284" spans="1:4" ht="12.75">
      <c r="A284" s="104" t="str">
        <f t="shared" si="8"/>
        <v>Rübenblätter</v>
      </c>
      <c r="B284" s="6" t="s">
        <v>416</v>
      </c>
      <c r="C284" s="104" t="s">
        <v>912</v>
      </c>
      <c r="D284" s="439" t="s">
        <v>1197</v>
      </c>
    </row>
    <row r="285" spans="1:4" ht="12.75">
      <c r="A285" s="104" t="str">
        <f t="shared" si="8"/>
        <v>Kartoffeln</v>
      </c>
      <c r="B285" s="6" t="s">
        <v>424</v>
      </c>
      <c r="C285" s="6" t="s">
        <v>802</v>
      </c>
      <c r="D285" s="439" t="s">
        <v>1134</v>
      </c>
    </row>
    <row r="286" spans="1:4" ht="12.75">
      <c r="A286" s="104" t="str">
        <f t="shared" si="8"/>
        <v>Chicorée-Wurzeln</v>
      </c>
      <c r="B286" s="6" t="s">
        <v>417</v>
      </c>
      <c r="C286" s="6" t="s">
        <v>419</v>
      </c>
      <c r="D286" s="439" t="s">
        <v>1142</v>
      </c>
    </row>
    <row r="287" spans="1:4" ht="12.75">
      <c r="A287" s="104" t="str">
        <f t="shared" si="8"/>
        <v>Abgang Obst- / Gemüseverwertung</v>
      </c>
      <c r="B287" s="6" t="s">
        <v>418</v>
      </c>
      <c r="C287" s="104" t="s">
        <v>913</v>
      </c>
      <c r="D287" s="439" t="s">
        <v>1143</v>
      </c>
    </row>
    <row r="288" spans="1:4" ht="12.75">
      <c r="A288" s="104" t="str">
        <f t="shared" si="8"/>
        <v>Biertreber, frisch oder siliert</v>
      </c>
      <c r="B288" s="6" t="s">
        <v>118</v>
      </c>
      <c r="C288" s="104" t="s">
        <v>177</v>
      </c>
      <c r="D288" s="104" t="s">
        <v>176</v>
      </c>
    </row>
    <row r="289" spans="1:4" ht="12.75">
      <c r="A289" s="104" t="str">
        <f t="shared" si="8"/>
        <v>Zufuhr von Stroh zur Verfütterung</v>
      </c>
      <c r="B289" s="6" t="s">
        <v>1298</v>
      </c>
      <c r="C289" s="6" t="s">
        <v>914</v>
      </c>
      <c r="D289" s="440" t="s">
        <v>1144</v>
      </c>
    </row>
    <row r="290" spans="1:4" ht="12.75">
      <c r="A290" s="104" t="str">
        <f t="shared" si="8"/>
        <v>Biertreber, getrocknet</v>
      </c>
      <c r="B290" s="6" t="s">
        <v>119</v>
      </c>
      <c r="C290" s="104" t="s">
        <v>174</v>
      </c>
      <c r="D290" s="440" t="s">
        <v>175</v>
      </c>
    </row>
    <row r="291" spans="1:4" ht="12.75">
      <c r="A291" s="104" t="str">
        <f t="shared" si="8"/>
        <v>Nebenprodukte Trocken- und Schälmüllerei</v>
      </c>
      <c r="B291" s="6" t="s">
        <v>108</v>
      </c>
      <c r="C291" s="104" t="s">
        <v>172</v>
      </c>
      <c r="D291" s="440" t="s">
        <v>173</v>
      </c>
    </row>
    <row r="292" spans="1:6" ht="12.75">
      <c r="A292" s="104" t="str">
        <f t="shared" si="8"/>
        <v>C1: Total Wegfuhr Wiesen und Weidefutter</v>
      </c>
      <c r="B292" s="6" t="s">
        <v>707</v>
      </c>
      <c r="C292" s="6" t="s">
        <v>915</v>
      </c>
      <c r="D292" s="440" t="s">
        <v>1145</v>
      </c>
      <c r="F292" s="6" t="s">
        <v>602</v>
      </c>
    </row>
    <row r="293" spans="1:4" ht="12.75">
      <c r="A293" s="104" t="str">
        <f t="shared" si="8"/>
        <v>C2: Total Wegfuhr übrige Grundfutter</v>
      </c>
      <c r="B293" s="6" t="s">
        <v>394</v>
      </c>
      <c r="C293" s="6" t="s">
        <v>916</v>
      </c>
      <c r="D293" s="439" t="s">
        <v>1146</v>
      </c>
    </row>
    <row r="294" spans="1:4" ht="12.75">
      <c r="A294" s="104" t="str">
        <f t="shared" si="8"/>
        <v>C3: Total Zufuhr Wiesen- und Weidefutter</v>
      </c>
      <c r="B294" s="6" t="s">
        <v>708</v>
      </c>
      <c r="C294" s="6" t="s">
        <v>920</v>
      </c>
      <c r="D294" s="439" t="s">
        <v>1147</v>
      </c>
    </row>
    <row r="295" spans="1:4" ht="12.75">
      <c r="A295" s="104" t="str">
        <f t="shared" si="8"/>
        <v>C4: Total Zufuhr übrige Grundfutter</v>
      </c>
      <c r="B295" s="6" t="s">
        <v>395</v>
      </c>
      <c r="C295" s="104" t="s">
        <v>921</v>
      </c>
      <c r="D295" s="439" t="s">
        <v>1148</v>
      </c>
    </row>
    <row r="296" spans="1:4" ht="12.75">
      <c r="A296" s="104" t="str">
        <f t="shared" si="8"/>
        <v>C5: Grundfutterproduktion ausserhalb der Futterfläche</v>
      </c>
      <c r="B296" s="6" t="s">
        <v>396</v>
      </c>
      <c r="C296" s="6" t="s">
        <v>922</v>
      </c>
      <c r="D296" s="439" t="s">
        <v>1149</v>
      </c>
    </row>
    <row r="297" spans="1:4" ht="12.75">
      <c r="A297" s="104" t="str">
        <f t="shared" si="8"/>
        <v>C6: Total Zufuhr Nebenprodukte aus Verarbeitung Lebensmittel</v>
      </c>
      <c r="B297" s="6" t="s">
        <v>124</v>
      </c>
      <c r="C297" s="513" t="s">
        <v>1351</v>
      </c>
      <c r="D297" s="439" t="s">
        <v>1355</v>
      </c>
    </row>
    <row r="298" spans="1:4" ht="12.75">
      <c r="A298" s="104" t="str">
        <f t="shared" si="8"/>
        <v>Total Netto-Grundfutterbedarf</v>
      </c>
      <c r="B298" s="6" t="s">
        <v>639</v>
      </c>
      <c r="C298" s="6" t="s">
        <v>806</v>
      </c>
      <c r="D298" s="439" t="s">
        <v>1150</v>
      </c>
    </row>
    <row r="299" spans="1:4" ht="12.75">
      <c r="A299" s="104" t="str">
        <f t="shared" si="8"/>
        <v>C7: Zuzüglich Lagerungs- und Krippenverluste, 0-5% vom Netto-Grundfutterbedarf</v>
      </c>
      <c r="B299" s="89" t="s">
        <v>112</v>
      </c>
      <c r="C299" s="89" t="s">
        <v>114</v>
      </c>
      <c r="D299" s="439" t="s">
        <v>116</v>
      </c>
    </row>
    <row r="300" spans="1:4" ht="12.75">
      <c r="A300" s="104" t="str">
        <f t="shared" si="8"/>
        <v>C8: Fehlerbereich der Grundfutterbilanz: 0-5% vom Netto-Grundfutterbedarf</v>
      </c>
      <c r="B300" s="89" t="s">
        <v>113</v>
      </c>
      <c r="C300" s="89" t="s">
        <v>115</v>
      </c>
      <c r="D300" s="440" t="s">
        <v>117</v>
      </c>
    </row>
    <row r="301" spans="1:4" ht="12.75">
      <c r="A301" s="104" t="str">
        <f t="shared" si="8"/>
        <v>Total auf der Futterfläche zu produzierendes Grundfutter (GFprod)</v>
      </c>
      <c r="B301" s="6" t="s">
        <v>640</v>
      </c>
      <c r="C301" s="6" t="s">
        <v>923</v>
      </c>
      <c r="D301" s="439" t="s">
        <v>1151</v>
      </c>
    </row>
    <row r="302" spans="1:4" ht="12.75">
      <c r="A302" s="104" t="str">
        <f t="shared" si="8"/>
        <v>Mutterkuh &amp; Kalb</v>
      </c>
      <c r="B302" s="473" t="s">
        <v>1140</v>
      </c>
      <c r="C302" s="6" t="s">
        <v>1300</v>
      </c>
      <c r="D302" s="645" t="s">
        <v>1334</v>
      </c>
    </row>
    <row r="303" spans="1:4" ht="12.75">
      <c r="A303" s="104" t="str">
        <f t="shared" si="8"/>
        <v>davon verfüttert an</v>
      </c>
      <c r="B303" s="473" t="s">
        <v>752</v>
      </c>
      <c r="C303" s="473" t="s">
        <v>1332</v>
      </c>
      <c r="D303" s="645" t="s">
        <v>1215</v>
      </c>
    </row>
    <row r="304" spans="1:4" ht="12.75">
      <c r="A304" s="104" t="str">
        <f t="shared" si="8"/>
        <v>Mutterkuh &amp; Kalb</v>
      </c>
      <c r="B304" s="473" t="s">
        <v>1140</v>
      </c>
      <c r="C304" s="473" t="s">
        <v>1064</v>
      </c>
      <c r="D304" s="645" t="s">
        <v>1216</v>
      </c>
    </row>
    <row r="305" spans="1:4" ht="12.75">
      <c r="A305" s="104" t="str">
        <f t="shared" si="8"/>
        <v>Menge</v>
      </c>
      <c r="B305" s="473" t="s">
        <v>651</v>
      </c>
      <c r="C305" s="6" t="s">
        <v>1301</v>
      </c>
      <c r="D305" s="645" t="s">
        <v>1219</v>
      </c>
    </row>
    <row r="306" spans="1:4" ht="12.75">
      <c r="A306" s="104" t="str">
        <f t="shared" si="8"/>
        <v>dt TS</v>
      </c>
      <c r="B306" s="6" t="s">
        <v>584</v>
      </c>
      <c r="C306" s="6" t="s">
        <v>670</v>
      </c>
      <c r="D306" s="645" t="s">
        <v>1025</v>
      </c>
    </row>
    <row r="307" spans="1:5" ht="12.75">
      <c r="A307" s="104" t="str">
        <f t="shared" si="8"/>
        <v>Menge GF für Kuh &amp; Kalb &gt; Menge GF zugeführt/prod. ausserh. FF</v>
      </c>
      <c r="B307" s="6" t="s">
        <v>539</v>
      </c>
      <c r="C307" s="473" t="s">
        <v>755</v>
      </c>
      <c r="D307" s="645" t="s">
        <v>1220</v>
      </c>
      <c r="E307" s="439"/>
    </row>
    <row r="308" spans="1:4" ht="12.75">
      <c r="A308" s="104"/>
      <c r="D308" s="439"/>
    </row>
    <row r="309" spans="1:4" s="103" customFormat="1" ht="12.75">
      <c r="A309" s="103" t="str">
        <f t="shared" si="8"/>
        <v>Teil D: Bilanz</v>
      </c>
      <c r="B309" s="103" t="s">
        <v>700</v>
      </c>
      <c r="C309" s="103" t="s">
        <v>924</v>
      </c>
      <c r="D309" s="438" t="s">
        <v>1152</v>
      </c>
    </row>
    <row r="310" spans="1:4" ht="12.75">
      <c r="A310" s="104" t="str">
        <f t="shared" si="8"/>
        <v>Gesamtverzehr</v>
      </c>
      <c r="B310" s="6" t="s">
        <v>690</v>
      </c>
      <c r="C310" s="6" t="s">
        <v>537</v>
      </c>
      <c r="D310" s="439" t="s">
        <v>1153</v>
      </c>
    </row>
    <row r="311" spans="1:4" ht="12.75">
      <c r="A311" s="104" t="str">
        <f t="shared" si="8"/>
        <v>[+] Verluste und Fehlerbereich</v>
      </c>
      <c r="B311" s="6" t="s">
        <v>379</v>
      </c>
      <c r="C311" s="473" t="s">
        <v>380</v>
      </c>
      <c r="D311" s="439" t="s">
        <v>1154</v>
      </c>
    </row>
    <row r="312" spans="1:4" ht="12.75">
      <c r="A312" s="104" t="str">
        <f t="shared" si="8"/>
        <v>[+] Verzehr während Sömmerung</v>
      </c>
      <c r="B312" s="6" t="s">
        <v>461</v>
      </c>
      <c r="C312" s="473" t="s">
        <v>462</v>
      </c>
      <c r="D312" s="645" t="s">
        <v>1107</v>
      </c>
    </row>
    <row r="313" spans="1:4" ht="12.75">
      <c r="A313" s="104" t="str">
        <f t="shared" si="8"/>
        <v>Produktion</v>
      </c>
      <c r="B313" s="6" t="s">
        <v>687</v>
      </c>
      <c r="C313" s="473" t="s">
        <v>662</v>
      </c>
      <c r="D313" s="439" t="s">
        <v>1155</v>
      </c>
    </row>
    <row r="314" spans="1:4" ht="12.75">
      <c r="A314" s="104" t="str">
        <f t="shared" si="8"/>
        <v>[+] Zufuhr</v>
      </c>
      <c r="B314" s="6" t="s">
        <v>688</v>
      </c>
      <c r="C314" s="473" t="s">
        <v>530</v>
      </c>
      <c r="D314" s="439" t="s">
        <v>1156</v>
      </c>
    </row>
    <row r="315" spans="1:4" ht="12.75">
      <c r="A315" s="104" t="str">
        <f t="shared" si="8"/>
        <v>[+] Futter während Sömmerung</v>
      </c>
      <c r="B315" s="6" t="s">
        <v>463</v>
      </c>
      <c r="C315" s="473" t="s">
        <v>299</v>
      </c>
      <c r="D315" s="645" t="s">
        <v>1108</v>
      </c>
    </row>
    <row r="316" spans="1:4" ht="12.75">
      <c r="A316" s="104" t="str">
        <f t="shared" si="8"/>
        <v>[-] Wegfuhr</v>
      </c>
      <c r="B316" s="6" t="s">
        <v>689</v>
      </c>
      <c r="C316" s="473" t="s">
        <v>531</v>
      </c>
      <c r="D316" s="439" t="s">
        <v>1121</v>
      </c>
    </row>
    <row r="317" spans="1:4" ht="12.75">
      <c r="A317" s="104" t="str">
        <f t="shared" si="8"/>
        <v>[-] Grundfutter übrige Tiere</v>
      </c>
      <c r="B317" s="6" t="s">
        <v>691</v>
      </c>
      <c r="C317" s="6" t="s">
        <v>925</v>
      </c>
      <c r="D317" s="439" t="s">
        <v>1157</v>
      </c>
    </row>
    <row r="318" spans="1:4" ht="12.75">
      <c r="A318" s="104" t="str">
        <f t="shared" si="8"/>
        <v>Bilanz                                      </v>
      </c>
      <c r="B318" s="6" t="s">
        <v>692</v>
      </c>
      <c r="C318" s="6" t="s">
        <v>532</v>
      </c>
      <c r="D318" s="439" t="s">
        <v>1158</v>
      </c>
    </row>
    <row r="319" spans="1:5" ht="12.75" customHeight="1">
      <c r="A319" s="104" t="str">
        <f t="shared" si="8"/>
        <v>Erforderliche Anteile an der Ration</v>
      </c>
      <c r="B319" s="6" t="s">
        <v>46</v>
      </c>
      <c r="C319" s="104" t="s">
        <v>312</v>
      </c>
      <c r="D319" s="104" t="s">
        <v>297</v>
      </c>
      <c r="E319" s="570"/>
    </row>
    <row r="320" spans="1:5" ht="12.75" customHeight="1">
      <c r="A320" s="104" t="str">
        <f t="shared" si="8"/>
        <v>Nebenprodukte+Kraftfutter ≤</v>
      </c>
      <c r="B320" s="104" t="s">
        <v>184</v>
      </c>
      <c r="C320" s="104" t="s">
        <v>1352</v>
      </c>
      <c r="D320" s="104" t="s">
        <v>1353</v>
      </c>
      <c r="E320" s="570"/>
    </row>
    <row r="321" spans="1:5" ht="12.75">
      <c r="A321" s="104" t="str">
        <f t="shared" si="8"/>
        <v>Total</v>
      </c>
      <c r="B321" s="6" t="s">
        <v>777</v>
      </c>
      <c r="C321" s="6" t="s">
        <v>383</v>
      </c>
      <c r="D321" s="440" t="s">
        <v>1024</v>
      </c>
      <c r="E321" s="570"/>
    </row>
    <row r="322" spans="1:4" ht="12.75">
      <c r="A322" s="104" t="str">
        <f t="shared" si="8"/>
        <v>Bedarf</v>
      </c>
      <c r="B322" s="6" t="s">
        <v>575</v>
      </c>
      <c r="C322" s="6" t="s">
        <v>384</v>
      </c>
      <c r="D322" s="440" t="s">
        <v>1159</v>
      </c>
    </row>
    <row r="323" spans="1:4" ht="12.75">
      <c r="A323" s="104" t="str">
        <f t="shared" si="8"/>
        <v>Wiesen- und</v>
      </c>
      <c r="B323" s="6" t="s">
        <v>735</v>
      </c>
      <c r="C323" s="6" t="s">
        <v>938</v>
      </c>
      <c r="D323" s="440" t="s">
        <v>1160</v>
      </c>
    </row>
    <row r="324" spans="1:4" ht="12.75">
      <c r="A324" s="104" t="str">
        <f t="shared" si="8"/>
        <v>Weidefutter</v>
      </c>
      <c r="B324" s="6" t="s">
        <v>820</v>
      </c>
      <c r="C324" s="6" t="s">
        <v>926</v>
      </c>
      <c r="D324" s="440" t="s">
        <v>1161</v>
      </c>
    </row>
    <row r="325" spans="1:4" ht="12.75">
      <c r="A325" s="104" t="str">
        <f t="shared" si="8"/>
        <v>Übriges Grundfutter</v>
      </c>
      <c r="B325" s="6" t="s">
        <v>693</v>
      </c>
      <c r="C325" s="104" t="s">
        <v>1354</v>
      </c>
      <c r="D325" s="440" t="s">
        <v>1162</v>
      </c>
    </row>
    <row r="326" spans="1:4" ht="12.75">
      <c r="A326" s="104" t="str">
        <f t="shared" si="8"/>
        <v>total</v>
      </c>
      <c r="B326" s="6" t="s">
        <v>669</v>
      </c>
      <c r="C326" s="6" t="s">
        <v>1299</v>
      </c>
      <c r="D326" s="440" t="s">
        <v>669</v>
      </c>
    </row>
    <row r="327" spans="1:4" ht="12.75">
      <c r="A327" s="104" t="str">
        <f t="shared" si="8"/>
        <v>Rau- und Saftfutter</v>
      </c>
      <c r="B327" s="513" t="s">
        <v>109</v>
      </c>
      <c r="C327" s="104" t="s">
        <v>197</v>
      </c>
      <c r="D327" s="440" t="s">
        <v>199</v>
      </c>
    </row>
    <row r="328" spans="1:4" ht="12.75">
      <c r="A328" s="104" t="str">
        <f t="shared" si="8"/>
        <v>Nebenprodukte</v>
      </c>
      <c r="B328" s="513" t="s">
        <v>110</v>
      </c>
      <c r="C328" s="104" t="s">
        <v>196</v>
      </c>
      <c r="D328" s="440" t="s">
        <v>198</v>
      </c>
    </row>
    <row r="329" spans="1:4" ht="12.75">
      <c r="A329" s="104" t="str">
        <f aca="true" t="shared" si="9" ref="A329:A377">IF($A$2=1,B329,IF($A$2=2,C329,IF($A$2=3,D329,"")))</f>
        <v>Kraftfutter</v>
      </c>
      <c r="B329" s="6" t="s">
        <v>663</v>
      </c>
      <c r="C329" s="6" t="s">
        <v>928</v>
      </c>
      <c r="D329" s="440" t="s">
        <v>1233</v>
      </c>
    </row>
    <row r="330" spans="1:4" ht="12.75">
      <c r="A330" s="104" t="str">
        <f t="shared" si="9"/>
        <v>(A4+A7 in TS)</v>
      </c>
      <c r="B330" s="6" t="s">
        <v>465</v>
      </c>
      <c r="C330" s="6" t="s">
        <v>510</v>
      </c>
      <c r="D330" s="440" t="s">
        <v>511</v>
      </c>
    </row>
    <row r="331" spans="1:4" ht="12.75">
      <c r="A331" s="104" t="str">
        <f t="shared" si="9"/>
        <v>RGVE/ha Grünl.</v>
      </c>
      <c r="B331" s="6" t="s">
        <v>775</v>
      </c>
      <c r="C331" s="6" t="s">
        <v>589</v>
      </c>
      <c r="D331" s="440" t="s">
        <v>1163</v>
      </c>
    </row>
    <row r="332" spans="1:4" ht="12.75">
      <c r="A332" s="104" t="str">
        <f t="shared" si="9"/>
        <v>Wegfuhr ist grösser als Produktion</v>
      </c>
      <c r="B332" s="6" t="s">
        <v>1274</v>
      </c>
      <c r="C332" s="473" t="s">
        <v>368</v>
      </c>
      <c r="D332" s="104" t="s">
        <v>52</v>
      </c>
    </row>
    <row r="333" spans="1:4" ht="14.25">
      <c r="A333" s="104" t="str">
        <f t="shared" si="9"/>
        <v>Erfüllung der erforderlichen Anteile an der Ration</v>
      </c>
      <c r="B333" s="6" t="s">
        <v>69</v>
      </c>
      <c r="C333" s="104" t="s">
        <v>313</v>
      </c>
      <c r="D333" s="104" t="s">
        <v>298</v>
      </c>
    </row>
    <row r="334" spans="1:4" ht="12.75">
      <c r="A334" s="104" t="str">
        <f t="shared" si="9"/>
        <v>Erforderlicher Mindesttierbesatz (RGVE/ha Grünfläche) für 100 % der GMF-Beiträge</v>
      </c>
      <c r="B334" s="6" t="s">
        <v>1273</v>
      </c>
      <c r="C334" s="492" t="s">
        <v>51</v>
      </c>
      <c r="D334" s="104" t="s">
        <v>50</v>
      </c>
    </row>
    <row r="335" spans="1:4" ht="12.75">
      <c r="A335" s="104" t="str">
        <f t="shared" si="9"/>
        <v>ja</v>
      </c>
      <c r="B335" s="6" t="s">
        <v>524</v>
      </c>
      <c r="C335" s="6" t="s">
        <v>525</v>
      </c>
      <c r="D335" s="440" t="s">
        <v>1006</v>
      </c>
    </row>
    <row r="336" spans="1:4" ht="12.75">
      <c r="A336" s="104" t="str">
        <f t="shared" si="9"/>
        <v>nein</v>
      </c>
      <c r="B336" s="6" t="s">
        <v>526</v>
      </c>
      <c r="C336" s="6" t="s">
        <v>527</v>
      </c>
      <c r="D336" s="439" t="s">
        <v>1007</v>
      </c>
    </row>
    <row r="337" spans="1:4" ht="12.75">
      <c r="A337" s="104" t="str">
        <f t="shared" si="9"/>
        <v>Die Herstellerin der Software oder die Beratung übernehmen keine Verantwortung, für Schäden, die aus der Nutzung der Software entstehen.</v>
      </c>
      <c r="B337" s="6" t="s">
        <v>939</v>
      </c>
      <c r="C337" s="6" t="s">
        <v>940</v>
      </c>
      <c r="D337" s="439" t="s">
        <v>1232</v>
      </c>
    </row>
    <row r="338" spans="1:4" ht="12.75">
      <c r="A338" s="104" t="str">
        <f t="shared" si="9"/>
        <v>Dieses Instrument dient als Nachweis für die Erfüllung der Anforderungen an die Futterbilanz für das Programm der GMF.</v>
      </c>
      <c r="B338" s="6" t="s">
        <v>1243</v>
      </c>
      <c r="C338" s="473" t="s">
        <v>369</v>
      </c>
      <c r="D338" s="645" t="s">
        <v>49</v>
      </c>
    </row>
    <row r="339" spans="1:4" ht="12.75">
      <c r="A339" s="104" t="str">
        <f t="shared" si="9"/>
        <v>Ort und Datum:</v>
      </c>
      <c r="B339" s="6" t="s">
        <v>533</v>
      </c>
      <c r="C339" s="6" t="s">
        <v>535</v>
      </c>
      <c r="D339" s="439" t="s">
        <v>1164</v>
      </c>
    </row>
    <row r="340" spans="1:4" ht="12.75">
      <c r="A340" s="104" t="str">
        <f t="shared" si="9"/>
        <v>Unterschrift:</v>
      </c>
      <c r="B340" s="6" t="s">
        <v>534</v>
      </c>
      <c r="C340" s="6" t="s">
        <v>536</v>
      </c>
      <c r="D340" s="439" t="s">
        <v>1165</v>
      </c>
    </row>
    <row r="341" spans="1:4" ht="12.75">
      <c r="A341" s="104">
        <f t="shared" si="9"/>
        <v>0</v>
      </c>
      <c r="D341" s="439"/>
    </row>
    <row r="342" spans="1:4" s="103" customFormat="1" ht="12.75">
      <c r="A342" s="103" t="str">
        <f t="shared" si="9"/>
        <v>Bilanz für Mutterkuh &amp; Kalb</v>
      </c>
      <c r="B342" s="103" t="s">
        <v>1139</v>
      </c>
      <c r="C342" s="103" t="s">
        <v>1069</v>
      </c>
      <c r="D342" s="438" t="s">
        <v>1070</v>
      </c>
    </row>
    <row r="343" spans="1:4" ht="12.75">
      <c r="A343" s="104" t="str">
        <f t="shared" si="9"/>
        <v>Total</v>
      </c>
      <c r="B343" s="6" t="s">
        <v>777</v>
      </c>
      <c r="C343" s="6" t="s">
        <v>383</v>
      </c>
      <c r="D343" s="440" t="s">
        <v>1024</v>
      </c>
    </row>
    <row r="344" spans="1:4" ht="12.75">
      <c r="A344" s="104" t="str">
        <f t="shared" si="9"/>
        <v>Bedarf</v>
      </c>
      <c r="B344" s="6" t="s">
        <v>575</v>
      </c>
      <c r="C344" s="6" t="s">
        <v>384</v>
      </c>
      <c r="D344" s="440" t="s">
        <v>1159</v>
      </c>
    </row>
    <row r="345" spans="1:4" ht="12.75">
      <c r="A345" s="104" t="str">
        <f t="shared" si="9"/>
        <v>Wiesen- &amp;</v>
      </c>
      <c r="B345" s="104" t="s">
        <v>188</v>
      </c>
      <c r="C345" s="104" t="s">
        <v>191</v>
      </c>
      <c r="D345" s="440" t="s">
        <v>1160</v>
      </c>
    </row>
    <row r="346" spans="1:4" ht="12.75">
      <c r="A346" s="104" t="str">
        <f t="shared" si="9"/>
        <v>Weidefutter</v>
      </c>
      <c r="B346" s="6" t="s">
        <v>820</v>
      </c>
      <c r="C346" s="104" t="s">
        <v>190</v>
      </c>
      <c r="D346" s="440" t="s">
        <v>1161</v>
      </c>
    </row>
    <row r="347" spans="1:4" ht="12.75">
      <c r="A347" s="104" t="str">
        <f t="shared" si="9"/>
        <v>.</v>
      </c>
      <c r="B347" s="513" t="s">
        <v>192</v>
      </c>
      <c r="C347" s="104" t="s">
        <v>189</v>
      </c>
      <c r="D347" s="440" t="s">
        <v>192</v>
      </c>
    </row>
    <row r="348" spans="1:4" ht="12.75">
      <c r="A348" s="104" t="str">
        <f t="shared" si="9"/>
        <v>Übriges</v>
      </c>
      <c r="B348" s="104" t="s">
        <v>186</v>
      </c>
      <c r="C348" s="6" t="s">
        <v>927</v>
      </c>
      <c r="D348" s="440" t="s">
        <v>194</v>
      </c>
    </row>
    <row r="349" spans="1:4" ht="12.75">
      <c r="A349" s="104" t="str">
        <f t="shared" si="9"/>
        <v>Grundfutter </v>
      </c>
      <c r="B349" s="104" t="s">
        <v>187</v>
      </c>
      <c r="C349" s="104" t="s">
        <v>195</v>
      </c>
      <c r="D349" s="440" t="s">
        <v>193</v>
      </c>
    </row>
    <row r="350" spans="1:4" ht="12.75">
      <c r="A350" s="104" t="str">
        <f t="shared" si="9"/>
        <v>total</v>
      </c>
      <c r="B350" s="104" t="s">
        <v>669</v>
      </c>
      <c r="C350" s="104" t="s">
        <v>669</v>
      </c>
      <c r="D350" s="104" t="s">
        <v>669</v>
      </c>
    </row>
    <row r="351" spans="1:4" ht="12.75">
      <c r="A351" s="104" t="str">
        <f t="shared" si="9"/>
        <v>Kraftfutter</v>
      </c>
      <c r="B351" s="6" t="s">
        <v>663</v>
      </c>
      <c r="C351" s="6" t="s">
        <v>928</v>
      </c>
      <c r="D351" s="440" t="s">
        <v>1233</v>
      </c>
    </row>
    <row r="352" spans="1:4" ht="12.75">
      <c r="A352" s="104" t="str">
        <f t="shared" si="9"/>
        <v>Erfüllung Mutterkuh &amp; Kalb</v>
      </c>
      <c r="B352" s="473" t="s">
        <v>1141</v>
      </c>
      <c r="C352" s="473" t="s">
        <v>754</v>
      </c>
      <c r="D352" s="645" t="s">
        <v>1222</v>
      </c>
    </row>
    <row r="353" spans="1:4" ht="12.75">
      <c r="A353" s="104" t="str">
        <f t="shared" si="9"/>
        <v>ja</v>
      </c>
      <c r="B353" s="6" t="s">
        <v>524</v>
      </c>
      <c r="C353" s="6" t="s">
        <v>525</v>
      </c>
      <c r="D353" s="440" t="s">
        <v>1006</v>
      </c>
    </row>
    <row r="354" spans="1:4" ht="12.75">
      <c r="A354" s="104" t="str">
        <f t="shared" si="9"/>
        <v>nein</v>
      </c>
      <c r="B354" s="6" t="s">
        <v>526</v>
      </c>
      <c r="C354" s="6" t="s">
        <v>527</v>
      </c>
      <c r="D354" s="439" t="s">
        <v>1007</v>
      </c>
    </row>
    <row r="355" spans="1:4" ht="12.75">
      <c r="A355" s="104" t="str">
        <f t="shared" si="9"/>
        <v>Bilanz übrige Raufutterverzehrer</v>
      </c>
      <c r="B355" s="6" t="s">
        <v>756</v>
      </c>
      <c r="C355" s="6" t="s">
        <v>1071</v>
      </c>
      <c r="D355" s="645" t="s">
        <v>1336</v>
      </c>
    </row>
    <row r="356" spans="1:4" ht="12.75">
      <c r="A356" s="104" t="str">
        <f t="shared" si="9"/>
        <v>Bitte Teil Mutterkuh&amp;Kalb ausfüllen, auch "0"</v>
      </c>
      <c r="B356" s="6" t="s">
        <v>330</v>
      </c>
      <c r="C356" s="6" t="s">
        <v>331</v>
      </c>
      <c r="D356" s="645" t="s">
        <v>1221</v>
      </c>
    </row>
    <row r="357" spans="1:4" ht="12.75">
      <c r="A357" s="104"/>
      <c r="D357" s="439"/>
    </row>
    <row r="358" spans="1:4" ht="12.75">
      <c r="A358" s="103" t="s">
        <v>1186</v>
      </c>
      <c r="D358" s="439"/>
    </row>
    <row r="359" spans="1:4" s="103" customFormat="1" ht="12.75">
      <c r="A359" s="104" t="str">
        <f t="shared" si="9"/>
        <v>Tiernormen</v>
      </c>
      <c r="B359" s="103" t="s">
        <v>376</v>
      </c>
      <c r="C359" s="103" t="s">
        <v>597</v>
      </c>
      <c r="D359" s="438" t="s">
        <v>1166</v>
      </c>
    </row>
    <row r="360" spans="1:4" ht="12.75">
      <c r="A360" s="104" t="str">
        <f t="shared" si="9"/>
        <v>Tierkategorie</v>
      </c>
      <c r="B360" s="6" t="s">
        <v>565</v>
      </c>
      <c r="C360" s="6" t="s">
        <v>665</v>
      </c>
      <c r="D360" s="439" t="s">
        <v>1167</v>
      </c>
    </row>
    <row r="361" spans="1:4" ht="12.75">
      <c r="A361" s="104" t="str">
        <f t="shared" si="9"/>
        <v>Einheit</v>
      </c>
      <c r="B361" s="6" t="s">
        <v>583</v>
      </c>
      <c r="C361" s="6" t="s">
        <v>814</v>
      </c>
      <c r="D361" s="439" t="s">
        <v>1009</v>
      </c>
    </row>
    <row r="362" spans="1:4" ht="12.75">
      <c r="A362" s="104" t="str">
        <f t="shared" si="9"/>
        <v>Grundfutter-</v>
      </c>
      <c r="B362" s="6" t="s">
        <v>720</v>
      </c>
      <c r="C362" s="6" t="s">
        <v>664</v>
      </c>
      <c r="D362" s="439" t="s">
        <v>1020</v>
      </c>
    </row>
    <row r="363" spans="1:4" ht="12.75">
      <c r="A363" s="104" t="str">
        <f t="shared" si="9"/>
        <v>verzehr</v>
      </c>
      <c r="B363" s="6" t="s">
        <v>719</v>
      </c>
      <c r="C363" s="6" t="s">
        <v>598</v>
      </c>
      <c r="D363" s="439" t="s">
        <v>1168</v>
      </c>
    </row>
    <row r="364" spans="1:4" ht="12.75">
      <c r="A364" s="104" t="str">
        <f t="shared" si="9"/>
        <v>TS/Tag</v>
      </c>
      <c r="B364" s="6" t="s">
        <v>377</v>
      </c>
      <c r="C364" s="6" t="s">
        <v>599</v>
      </c>
      <c r="D364" s="439" t="s">
        <v>1169</v>
      </c>
    </row>
    <row r="365" spans="1:4" ht="12.75">
      <c r="A365" s="104" t="str">
        <f t="shared" si="9"/>
        <v>TS/Jahr</v>
      </c>
      <c r="B365" s="6" t="s">
        <v>378</v>
      </c>
      <c r="C365" s="6" t="s">
        <v>381</v>
      </c>
      <c r="D365" s="439" t="s">
        <v>1170</v>
      </c>
    </row>
    <row r="366" spans="1:4" ht="12.75">
      <c r="A366" s="104" t="str">
        <f t="shared" si="9"/>
        <v>GVE</v>
      </c>
      <c r="B366" s="6" t="s">
        <v>628</v>
      </c>
      <c r="C366" s="6" t="s">
        <v>574</v>
      </c>
      <c r="D366" s="439" t="s">
        <v>1171</v>
      </c>
    </row>
    <row r="367" spans="1:4" ht="12.75">
      <c r="A367" s="104" t="str">
        <f t="shared" si="9"/>
        <v>Faktoren</v>
      </c>
      <c r="B367" s="6" t="s">
        <v>382</v>
      </c>
      <c r="C367" s="6" t="s">
        <v>629</v>
      </c>
      <c r="D367" s="439" t="s">
        <v>1172</v>
      </c>
    </row>
    <row r="368" spans="1:4" ht="12.75">
      <c r="A368" s="104" t="str">
        <f t="shared" si="9"/>
        <v>Einheit</v>
      </c>
      <c r="B368" s="6" t="s">
        <v>583</v>
      </c>
      <c r="C368" s="6" t="s">
        <v>573</v>
      </c>
      <c r="D368" s="439" t="s">
        <v>1009</v>
      </c>
    </row>
    <row r="369" spans="1:4" ht="12.75">
      <c r="A369" s="104" t="str">
        <f t="shared" si="9"/>
        <v>100 Pl.</v>
      </c>
      <c r="B369" s="6" t="s">
        <v>742</v>
      </c>
      <c r="C369" s="6" t="s">
        <v>729</v>
      </c>
      <c r="D369" s="439" t="s">
        <v>1173</v>
      </c>
    </row>
    <row r="370" spans="1:4" ht="12.75">
      <c r="A370" s="104" t="str">
        <f t="shared" si="9"/>
        <v>1 Stück</v>
      </c>
      <c r="B370" s="6" t="s">
        <v>724</v>
      </c>
      <c r="C370" s="6" t="s">
        <v>722</v>
      </c>
      <c r="D370" s="439" t="s">
        <v>1174</v>
      </c>
    </row>
    <row r="371" spans="1:4" ht="12.75">
      <c r="A371" s="104" t="str">
        <f t="shared" si="9"/>
        <v>1 Platz</v>
      </c>
      <c r="B371" s="6" t="s">
        <v>725</v>
      </c>
      <c r="C371" s="6" t="s">
        <v>723</v>
      </c>
      <c r="D371" s="439" t="s">
        <v>1175</v>
      </c>
    </row>
    <row r="372" spans="1:4" ht="12.75">
      <c r="A372" s="104" t="str">
        <f t="shared" si="9"/>
        <v>Grenzwerte:</v>
      </c>
      <c r="B372" s="6" t="s">
        <v>843</v>
      </c>
      <c r="C372" s="6" t="s">
        <v>847</v>
      </c>
      <c r="D372" s="646" t="s">
        <v>1231</v>
      </c>
    </row>
    <row r="373" spans="1:4" ht="12.75">
      <c r="A373" s="104" t="str">
        <f t="shared" si="9"/>
        <v>Talgebiet</v>
      </c>
      <c r="B373" s="6" t="s">
        <v>845</v>
      </c>
      <c r="C373" s="6" t="s">
        <v>848</v>
      </c>
      <c r="D373" s="646" t="s">
        <v>1230</v>
      </c>
    </row>
    <row r="374" spans="1:4" ht="12.75">
      <c r="A374" s="104" t="str">
        <f t="shared" si="9"/>
        <v>Berggebiet</v>
      </c>
      <c r="B374" s="6" t="s">
        <v>846</v>
      </c>
      <c r="C374" s="6" t="s">
        <v>849</v>
      </c>
      <c r="D374" s="646" t="s">
        <v>1229</v>
      </c>
    </row>
    <row r="375" spans="1:4" ht="12.75">
      <c r="A375" s="104" t="str">
        <f t="shared" si="9"/>
        <v>rot = nicht erfüllt</v>
      </c>
      <c r="B375" s="6" t="s">
        <v>844</v>
      </c>
      <c r="C375" s="6" t="s">
        <v>850</v>
      </c>
      <c r="D375" s="646" t="s">
        <v>1228</v>
      </c>
    </row>
    <row r="376" spans="1:4" ht="12.75">
      <c r="A376" s="104" t="str">
        <f t="shared" si="9"/>
        <v>Keine Gebietszuteilung</v>
      </c>
      <c r="B376" s="6" t="s">
        <v>1244</v>
      </c>
      <c r="C376" s="473" t="s">
        <v>370</v>
      </c>
      <c r="D376" s="104" t="s">
        <v>53</v>
      </c>
    </row>
    <row r="377" spans="1:4" ht="12.75">
      <c r="A377" s="104" t="str">
        <f t="shared" si="9"/>
        <v>Grundfutter</v>
      </c>
      <c r="B377" s="6" t="s">
        <v>545</v>
      </c>
      <c r="C377" s="473" t="s">
        <v>546</v>
      </c>
      <c r="D377" s="104" t="s">
        <v>547</v>
      </c>
    </row>
    <row r="378" ht="12.75">
      <c r="D378" s="104"/>
    </row>
    <row r="379" spans="1:4" ht="12.75">
      <c r="A379" s="103" t="s">
        <v>54</v>
      </c>
      <c r="D379" s="645"/>
    </row>
    <row r="380" spans="1:4" ht="12.75">
      <c r="A380" s="104" t="str">
        <f aca="true" t="shared" si="10" ref="A380:A385">IF($A$2=1,B380,IF($A$2=2,C380,IF($A$2=3,D380,"")))</f>
        <v>Informationsteil</v>
      </c>
      <c r="B380" s="104" t="s">
        <v>68</v>
      </c>
      <c r="C380" s="104" t="s">
        <v>75</v>
      </c>
      <c r="D380" s="104" t="s">
        <v>1308</v>
      </c>
    </row>
    <row r="381" spans="1:4" ht="12.75">
      <c r="A381" s="104" t="str">
        <f t="shared" si="10"/>
        <v>Die Berechnung des massgebenden Tierbesatzes für die Futterbilanz 2019 basiert auf dem effektiven </v>
      </c>
      <c r="B381" s="149" t="s">
        <v>181</v>
      </c>
      <c r="C381" s="104" t="s">
        <v>182</v>
      </c>
      <c r="D381" s="104" t="s">
        <v>183</v>
      </c>
    </row>
    <row r="382" spans="1:4" ht="12.75">
      <c r="A382" s="104" t="str">
        <f t="shared" si="10"/>
        <v>Tierbestand in der Periode vom 1.1.2019 - 31.12.2019. Weil dieser zur Zeit noch nicht bekannt ist, </v>
      </c>
      <c r="B382" s="104" t="s">
        <v>178</v>
      </c>
      <c r="C382" s="104" t="s">
        <v>179</v>
      </c>
      <c r="D382" s="104" t="s">
        <v>180</v>
      </c>
    </row>
    <row r="383" spans="1:4" ht="12.75">
      <c r="A383" s="104" t="str">
        <f t="shared" si="10"/>
        <v>ist die Höhe der Beiträge nur eine Schätzung.</v>
      </c>
      <c r="B383" s="6" t="s">
        <v>210</v>
      </c>
      <c r="C383" s="104" t="s">
        <v>209</v>
      </c>
      <c r="D383" s="104" t="s">
        <v>1318</v>
      </c>
    </row>
    <row r="384" spans="1:4" ht="12.75">
      <c r="A384" s="104" t="str">
        <f t="shared" si="10"/>
        <v>RGVE effektiv auf dem Betrieb</v>
      </c>
      <c r="B384" s="493" t="s">
        <v>316</v>
      </c>
      <c r="C384" s="493" t="s">
        <v>55</v>
      </c>
      <c r="D384" s="493" t="s">
        <v>56</v>
      </c>
    </row>
    <row r="385" spans="1:4" ht="12.75">
      <c r="A385" s="104" t="str">
        <f t="shared" si="10"/>
        <v>Effektiver Mindesttierbesatz (RGVE/ha Grünfläche)</v>
      </c>
      <c r="B385" s="104" t="s">
        <v>57</v>
      </c>
      <c r="C385" s="104" t="s">
        <v>58</v>
      </c>
      <c r="D385" s="104" t="s">
        <v>59</v>
      </c>
    </row>
    <row r="386" spans="1:4" ht="12.75">
      <c r="A386" s="104" t="str">
        <f aca="true" t="shared" si="11" ref="A386:A400">IF($A$2=1,B386,IF($A$2=2,C386,IF($A$2=3,D386,"")))</f>
        <v>Erfüllung des Anteils … an der Ration</v>
      </c>
      <c r="B386" s="104" t="s">
        <v>317</v>
      </c>
      <c r="C386" s="104" t="s">
        <v>74</v>
      </c>
      <c r="D386" s="104" t="s">
        <v>1309</v>
      </c>
    </row>
    <row r="387" spans="1:4" ht="12.75">
      <c r="A387" s="104" t="str">
        <f t="shared" si="11"/>
        <v>  - Wiesen- und Weidefutter</v>
      </c>
      <c r="B387" s="104" t="s">
        <v>318</v>
      </c>
      <c r="C387" s="104" t="s">
        <v>321</v>
      </c>
      <c r="D387" s="104" t="s">
        <v>1310</v>
      </c>
    </row>
    <row r="388" spans="1:4" ht="12.75">
      <c r="A388" s="104" t="str">
        <f t="shared" si="11"/>
        <v>  - übriges Grundfutter</v>
      </c>
      <c r="B388" s="104" t="s">
        <v>319</v>
      </c>
      <c r="C388" s="104" t="s">
        <v>322</v>
      </c>
      <c r="D388" s="104" t="s">
        <v>1311</v>
      </c>
    </row>
    <row r="389" spans="1:4" ht="12.75">
      <c r="A389" s="104" t="str">
        <f t="shared" si="11"/>
        <v>  - Kraftfutter</v>
      </c>
      <c r="B389" s="104" t="s">
        <v>320</v>
      </c>
      <c r="C389" s="104" t="s">
        <v>323</v>
      </c>
      <c r="D389" s="104" t="s">
        <v>1312</v>
      </c>
    </row>
    <row r="390" spans="1:4" ht="12.75">
      <c r="A390" s="104" t="str">
        <f t="shared" si="11"/>
        <v>Erfüllung des Mindesttierbesatzes für</v>
      </c>
      <c r="B390" s="104" t="s">
        <v>60</v>
      </c>
      <c r="C390" s="104" t="s">
        <v>61</v>
      </c>
      <c r="D390" s="104" t="s">
        <v>62</v>
      </c>
    </row>
    <row r="391" spans="1:4" ht="12.75">
      <c r="A391" s="104" t="str">
        <f t="shared" si="11"/>
        <v>% der GMF-Beiträge</v>
      </c>
      <c r="B391" s="104" t="s">
        <v>326</v>
      </c>
      <c r="C391" s="104" t="s">
        <v>338</v>
      </c>
      <c r="D391" s="104" t="s">
        <v>63</v>
      </c>
    </row>
    <row r="392" spans="1:4" ht="12.75">
      <c r="A392" s="104" t="str">
        <f t="shared" si="11"/>
        <v>das entspricht etwa </v>
      </c>
      <c r="B392" s="104" t="s">
        <v>325</v>
      </c>
      <c r="C392" s="104" t="s">
        <v>204</v>
      </c>
      <c r="D392" s="104" t="s">
        <v>1313</v>
      </c>
    </row>
    <row r="393" spans="1:4" ht="12.75">
      <c r="A393" s="104" t="str">
        <f t="shared" si="11"/>
        <v>Sie erhalten die Beiträge </v>
      </c>
      <c r="B393" s="104" t="s">
        <v>334</v>
      </c>
      <c r="C393" s="104" t="s">
        <v>205</v>
      </c>
      <c r="D393" s="104" t="s">
        <v>1314</v>
      </c>
    </row>
    <row r="394" spans="1:4" ht="12.75">
      <c r="A394" s="104" t="str">
        <f t="shared" si="11"/>
        <v>teilweise</v>
      </c>
      <c r="B394" s="104" t="s">
        <v>64</v>
      </c>
      <c r="C394" s="104" t="s">
        <v>314</v>
      </c>
      <c r="D394" s="104" t="s">
        <v>65</v>
      </c>
    </row>
    <row r="395" spans="1:4" ht="12.75">
      <c r="A395" s="104" t="str">
        <f t="shared" si="11"/>
        <v>vollständig</v>
      </c>
      <c r="B395" s="104" t="s">
        <v>66</v>
      </c>
      <c r="C395" s="104" t="s">
        <v>315</v>
      </c>
      <c r="D395" s="104" t="s">
        <v>67</v>
      </c>
    </row>
    <row r="396" spans="1:4" ht="12.75">
      <c r="A396" s="104" t="str">
        <f t="shared" si="11"/>
        <v>nein</v>
      </c>
      <c r="B396" s="490" t="s">
        <v>526</v>
      </c>
      <c r="C396" s="104" t="s">
        <v>527</v>
      </c>
      <c r="D396" s="504" t="s">
        <v>1007</v>
      </c>
    </row>
    <row r="397" spans="1:4" ht="12.75">
      <c r="A397" s="104" t="str">
        <f t="shared" si="11"/>
        <v>ja</v>
      </c>
      <c r="B397" s="104" t="s">
        <v>524</v>
      </c>
      <c r="C397" s="104" t="s">
        <v>525</v>
      </c>
      <c r="D397" s="104" t="s">
        <v>324</v>
      </c>
    </row>
    <row r="398" spans="1:4" ht="12.75">
      <c r="A398" s="104" t="str">
        <f t="shared" si="11"/>
        <v>Ihre Beiträge können nicht berechnet werden</v>
      </c>
      <c r="B398" s="104" t="s">
        <v>337</v>
      </c>
      <c r="C398" s="104" t="s">
        <v>206</v>
      </c>
      <c r="D398" s="104" t="s">
        <v>1315</v>
      </c>
    </row>
    <row r="399" spans="1:4" ht="12.75">
      <c r="A399" s="104" t="str">
        <f t="shared" si="11"/>
        <v>Bitte tragen Sie die Anzahl RGVE Ihres Betriebes ein</v>
      </c>
      <c r="B399" s="104" t="s">
        <v>336</v>
      </c>
      <c r="C399" s="104" t="s">
        <v>207</v>
      </c>
      <c r="D399" s="104" t="s">
        <v>1316</v>
      </c>
    </row>
    <row r="400" spans="1:4" ht="12.75">
      <c r="A400" s="104" t="str">
        <f t="shared" si="11"/>
        <v>Sie erhalten KEINE Beiträge</v>
      </c>
      <c r="B400" s="104" t="s">
        <v>335</v>
      </c>
      <c r="C400" s="104" t="s">
        <v>208</v>
      </c>
      <c r="D400" s="104" t="s">
        <v>1317</v>
      </c>
    </row>
    <row r="401" spans="1:4" ht="14.25">
      <c r="A401" s="104" t="str">
        <f>IF($A$2=1,B401,IF($A$2=2,C401,IF($A$2=3,D401,"")))</f>
        <v>Erfüllung der Anteile (Gras, Kraftfutter) der Ration</v>
      </c>
      <c r="B401" s="104" t="s">
        <v>70</v>
      </c>
      <c r="C401" s="494" t="s">
        <v>71</v>
      </c>
      <c r="D401" s="440" t="s">
        <v>72</v>
      </c>
    </row>
    <row r="402" ht="12.75">
      <c r="D402" s="645"/>
    </row>
    <row r="403" spans="1:4" ht="12.75">
      <c r="A403" s="103" t="s">
        <v>309</v>
      </c>
      <c r="D403" s="645"/>
    </row>
    <row r="404" spans="1:4" ht="12.75">
      <c r="A404" s="104" t="str">
        <f aca="true" t="shared" si="12" ref="A404:A440">IF($A$2=1,B404,IF($A$2=2,C404,IF($A$2=3,D404,"")))</f>
        <v>Anpassung des eigenen Produktionssytems</v>
      </c>
      <c r="B404" s="6" t="s">
        <v>212</v>
      </c>
      <c r="C404" s="6" t="s">
        <v>213</v>
      </c>
      <c r="D404" s="645"/>
    </row>
    <row r="405" spans="1:4" ht="12.75">
      <c r="A405" s="104" t="str">
        <f t="shared" si="12"/>
        <v>im Hinblick auf GMF</v>
      </c>
      <c r="B405" s="6" t="s">
        <v>214</v>
      </c>
      <c r="C405" s="6" t="s">
        <v>215</v>
      </c>
      <c r="D405" s="645"/>
    </row>
    <row r="406" spans="1:4" ht="12.75">
      <c r="A406" s="104" t="str">
        <f t="shared" si="12"/>
        <v>Achtung: Die Berechnung basiert auf den Angaben des Bilanzblattes</v>
      </c>
      <c r="B406" s="6" t="s">
        <v>216</v>
      </c>
      <c r="C406" s="6" t="s">
        <v>217</v>
      </c>
      <c r="D406" s="645"/>
    </row>
    <row r="407" spans="1:4" ht="12.75">
      <c r="A407" s="104" t="str">
        <f t="shared" si="12"/>
        <v>Erklärungen</v>
      </c>
      <c r="B407" s="6" t="s">
        <v>218</v>
      </c>
      <c r="C407" s="6" t="s">
        <v>219</v>
      </c>
      <c r="D407" s="645"/>
    </row>
    <row r="408" spans="1:4" ht="12.75">
      <c r="A408" s="104" t="str">
        <f t="shared" si="12"/>
        <v>Falls die Bedingung der Kraftfutterrestriktion nicht erfüllt ist, stellt sich die Frage einer Verringerung des Kraftfuttereinsatzes</v>
      </c>
      <c r="B408" s="6" t="s">
        <v>220</v>
      </c>
      <c r="C408" s="6" t="s">
        <v>221</v>
      </c>
      <c r="D408" s="645"/>
    </row>
    <row r="409" spans="1:4" ht="12.75">
      <c r="A409" s="104" t="str">
        <f t="shared" si="12"/>
        <v>Dieses Blatt zeigt die finanziellen Auswirkungen bei einer eventuellen Anpassung des Produktionssystems</v>
      </c>
      <c r="B409" s="6" t="s">
        <v>222</v>
      </c>
      <c r="C409" s="6" t="s">
        <v>223</v>
      </c>
      <c r="D409" s="645"/>
    </row>
    <row r="410" spans="1:4" ht="12.75">
      <c r="A410" s="104" t="str">
        <f t="shared" si="12"/>
        <v>Prüfen Sie auf dem Bilanz-Blatt, ob ihre Anpassung (Teil A) die Erfüllung der Bedingungen</v>
      </c>
      <c r="B410" s="6" t="s">
        <v>224</v>
      </c>
      <c r="C410" s="6" t="s">
        <v>225</v>
      </c>
      <c r="D410" s="645"/>
    </row>
    <row r="411" spans="1:4" ht="12.75">
      <c r="A411" s="104" t="str">
        <f t="shared" si="12"/>
        <v>von maximal 10% Kraftfutter (Teil D) bewirkt.</v>
      </c>
      <c r="B411" s="6" t="s">
        <v>226</v>
      </c>
      <c r="C411" s="6" t="s">
        <v>227</v>
      </c>
      <c r="D411" s="645"/>
    </row>
    <row r="412" spans="1:4" ht="12.75">
      <c r="A412" s="104" t="str">
        <f t="shared" si="12"/>
        <v>Milchproduktion</v>
      </c>
      <c r="B412" s="6" t="s">
        <v>228</v>
      </c>
      <c r="C412" s="6" t="s">
        <v>229</v>
      </c>
      <c r="D412" s="645"/>
    </row>
    <row r="413" spans="1:4" ht="12.75">
      <c r="A413" s="104" t="str">
        <f t="shared" si="12"/>
        <v>Mittlerer Herdendurchschnitt</v>
      </c>
      <c r="B413" s="6" t="s">
        <v>230</v>
      </c>
      <c r="C413" s="6" t="s">
        <v>231</v>
      </c>
      <c r="D413" s="645"/>
    </row>
    <row r="414" spans="1:4" ht="12.75">
      <c r="A414" s="104" t="str">
        <f t="shared" si="12"/>
        <v>Angestrebte Milchleistung nach Anpassung</v>
      </c>
      <c r="B414" s="6" t="s">
        <v>232</v>
      </c>
      <c r="C414" s="6" t="s">
        <v>233</v>
      </c>
      <c r="D414" s="645"/>
    </row>
    <row r="415" spans="1:4" ht="12.75">
      <c r="A415" s="104" t="str">
        <f t="shared" si="12"/>
        <v>Anzahl Kühe</v>
      </c>
      <c r="B415" s="6" t="s">
        <v>234</v>
      </c>
      <c r="C415" s="6" t="s">
        <v>235</v>
      </c>
      <c r="D415" s="645"/>
    </row>
    <row r="416" spans="1:4" ht="12.75">
      <c r="A416" s="104" t="str">
        <f t="shared" si="12"/>
        <v>Auswirkungen auf die Mengen</v>
      </c>
      <c r="B416" s="6" t="s">
        <v>236</v>
      </c>
      <c r="C416" s="6" t="s">
        <v>237</v>
      </c>
      <c r="D416" s="645"/>
    </row>
    <row r="417" spans="1:4" ht="12.75">
      <c r="A417" s="104" t="str">
        <f t="shared" si="12"/>
        <v>Verringerung der Milchproduktion total</v>
      </c>
      <c r="B417" s="6" t="s">
        <v>238</v>
      </c>
      <c r="C417" s="6" t="s">
        <v>239</v>
      </c>
      <c r="D417" s="645"/>
    </row>
    <row r="418" spans="1:4" ht="12.75">
      <c r="A418" s="104" t="str">
        <f t="shared" si="12"/>
        <v>Reduktion des Kraftfuttereinsatzes pro Kuh</v>
      </c>
      <c r="B418" s="6" t="s">
        <v>240</v>
      </c>
      <c r="C418" s="6" t="s">
        <v>241</v>
      </c>
      <c r="D418" s="645"/>
    </row>
    <row r="419" spans="1:4" ht="12.75">
      <c r="A419" s="104" t="str">
        <f t="shared" si="12"/>
        <v>Auswirkungen auf die Wirtschaftlichkeit</v>
      </c>
      <c r="B419" s="6" t="s">
        <v>242</v>
      </c>
      <c r="C419" s="6" t="s">
        <v>243</v>
      </c>
      <c r="D419" s="645"/>
    </row>
    <row r="420" spans="1:4" ht="12.75">
      <c r="A420" s="104" t="str">
        <f t="shared" si="12"/>
        <v>Mindereinnahmen Milch</v>
      </c>
      <c r="B420" s="6" t="s">
        <v>244</v>
      </c>
      <c r="C420" s="6" t="s">
        <v>245</v>
      </c>
      <c r="D420" s="645"/>
    </row>
    <row r="421" spans="1:4" ht="12.75">
      <c r="A421" s="104" t="str">
        <f t="shared" si="12"/>
        <v>Einsparung Kraftfutterkosten</v>
      </c>
      <c r="B421" s="6" t="s">
        <v>250</v>
      </c>
      <c r="C421" s="6" t="s">
        <v>251</v>
      </c>
      <c r="D421" s="645"/>
    </row>
    <row r="422" spans="1:4" ht="12.75">
      <c r="A422" s="104" t="str">
        <f t="shared" si="12"/>
        <v>Beiträge GMF</v>
      </c>
      <c r="B422" s="6" t="s">
        <v>252</v>
      </c>
      <c r="C422" s="6" t="s">
        <v>253</v>
      </c>
      <c r="D422" s="645"/>
    </row>
    <row r="423" spans="1:4" ht="12.75">
      <c r="A423" s="104" t="str">
        <f t="shared" si="12"/>
        <v>Bilanz</v>
      </c>
      <c r="B423" s="6" t="s">
        <v>591</v>
      </c>
      <c r="C423" s="6" t="s">
        <v>254</v>
      </c>
      <c r="D423" s="645"/>
    </row>
    <row r="424" spans="1:4" ht="12.75">
      <c r="A424" s="104" t="str">
        <f t="shared" si="12"/>
        <v>kg Milch/Kuh</v>
      </c>
      <c r="B424" s="6" t="s">
        <v>255</v>
      </c>
      <c r="C424" s="6" t="s">
        <v>256</v>
      </c>
      <c r="D424" s="645"/>
    </row>
    <row r="425" spans="1:4" ht="12.75">
      <c r="A425" s="104" t="str">
        <f t="shared" si="12"/>
        <v>Kühe</v>
      </c>
      <c r="B425" s="6" t="s">
        <v>257</v>
      </c>
      <c r="C425" s="6" t="s">
        <v>258</v>
      </c>
      <c r="D425" s="645"/>
    </row>
    <row r="426" spans="1:4" ht="12.75">
      <c r="A426" s="104" t="str">
        <f t="shared" si="12"/>
        <v>kg Milch</v>
      </c>
      <c r="B426" s="6" t="s">
        <v>259</v>
      </c>
      <c r="C426" s="6" t="s">
        <v>260</v>
      </c>
      <c r="D426" s="645"/>
    </row>
    <row r="427" spans="1:4" ht="12.75">
      <c r="A427" s="104" t="str">
        <f t="shared" si="12"/>
        <v>kg KF/Kuh</v>
      </c>
      <c r="B427" s="6" t="s">
        <v>261</v>
      </c>
      <c r="C427" s="6" t="s">
        <v>262</v>
      </c>
      <c r="D427" s="645"/>
    </row>
    <row r="428" spans="1:4" ht="12.75">
      <c r="A428" s="104" t="str">
        <f t="shared" si="12"/>
        <v>Fr.</v>
      </c>
      <c r="B428" s="6" t="s">
        <v>263</v>
      </c>
      <c r="C428" s="6" t="s">
        <v>264</v>
      </c>
      <c r="D428" s="645"/>
    </row>
    <row r="429" spans="1:4" ht="12.75">
      <c r="A429" s="104" t="str">
        <f t="shared" si="12"/>
        <v>Rp/kg</v>
      </c>
      <c r="B429" s="6" t="s">
        <v>265</v>
      </c>
      <c r="C429" s="6" t="s">
        <v>266</v>
      </c>
      <c r="D429" s="645"/>
    </row>
    <row r="430" spans="1:4" ht="12.75">
      <c r="A430" s="104" t="str">
        <f t="shared" si="12"/>
        <v>Fr./dt</v>
      </c>
      <c r="B430" s="6" t="s">
        <v>267</v>
      </c>
      <c r="C430" s="6" t="s">
        <v>268</v>
      </c>
      <c r="D430" s="645"/>
    </row>
    <row r="431" spans="1:4" ht="12.75">
      <c r="A431" s="104" t="str">
        <f t="shared" si="12"/>
        <v>Fr./ha</v>
      </c>
      <c r="B431" s="6" t="s">
        <v>269</v>
      </c>
      <c r="C431" s="6" t="s">
        <v>270</v>
      </c>
      <c r="D431" s="645"/>
    </row>
    <row r="432" spans="1:4" ht="12.75">
      <c r="A432" s="104" t="str">
        <f t="shared" si="12"/>
        <v>siehe Erklärung*</v>
      </c>
      <c r="B432" s="6" t="s">
        <v>271</v>
      </c>
      <c r="C432" s="6" t="s">
        <v>272</v>
      </c>
      <c r="D432" s="645"/>
    </row>
    <row r="433" spans="1:4" ht="12.75">
      <c r="A433" s="104" t="str">
        <f t="shared" si="12"/>
        <v>Preis</v>
      </c>
      <c r="B433" s="513" t="s">
        <v>273</v>
      </c>
      <c r="C433" s="513" t="s">
        <v>274</v>
      </c>
      <c r="D433" s="645"/>
    </row>
    <row r="434" spans="1:4" ht="12.75">
      <c r="A434" s="104" t="str">
        <f t="shared" si="12"/>
        <v>Kraftfutterreduktion</v>
      </c>
      <c r="B434" s="6" t="s">
        <v>275</v>
      </c>
      <c r="C434" s="6" t="s">
        <v>276</v>
      </c>
      <c r="D434" s="645"/>
    </row>
    <row r="435" spans="1:4" ht="12.75">
      <c r="A435" s="104" t="str">
        <f t="shared" si="12"/>
        <v>Reduzierte Milchleistung dividiert durch das MPP des KF ergibt eingesparte Kraftfuttermenge</v>
      </c>
      <c r="B435" s="6" t="s">
        <v>277</v>
      </c>
      <c r="C435" s="6" t="s">
        <v>278</v>
      </c>
      <c r="D435" s="645"/>
    </row>
    <row r="436" spans="1:4" ht="12.75">
      <c r="A436" s="104" t="str">
        <f t="shared" si="12"/>
        <v>Annahme Milchleistungspotential = 2 kg Milch pro kg Kraftfutter*</v>
      </c>
      <c r="B436" s="6" t="s">
        <v>279</v>
      </c>
      <c r="C436" s="6" t="s">
        <v>280</v>
      </c>
      <c r="D436" s="645"/>
    </row>
    <row r="437" spans="1:4" ht="12.75">
      <c r="A437" s="104" t="str">
        <f t="shared" si="12"/>
        <v>Beispiel:</v>
      </c>
      <c r="B437" s="6" t="s">
        <v>281</v>
      </c>
      <c r="C437" s="6" t="s">
        <v>282</v>
      </c>
      <c r="D437" s="645"/>
    </row>
    <row r="438" spans="1:4" ht="12.75">
      <c r="A438" s="104" t="str">
        <f t="shared" si="12"/>
        <v>500 kg Milchleistungsreduktion / 2 (MPP KF) = 250 kg Kraftfuttereinsparung</v>
      </c>
      <c r="B438" s="6" t="s">
        <v>283</v>
      </c>
      <c r="C438" s="6" t="s">
        <v>284</v>
      </c>
      <c r="D438" s="645"/>
    </row>
    <row r="439" spans="1:4" ht="12.75">
      <c r="A439" s="104" t="str">
        <f t="shared" si="12"/>
        <v>*Hinweis: die tatsächliche Milchleistungsänderung pro kg Kraftfuttereinsatz oder -einsparung</v>
      </c>
      <c r="B439" s="6" t="s">
        <v>285</v>
      </c>
      <c r="C439" s="6" t="s">
        <v>286</v>
      </c>
      <c r="D439" s="645"/>
    </row>
    <row r="440" spans="1:4" ht="12.75">
      <c r="A440" s="104" t="str">
        <f t="shared" si="12"/>
        <v>kann je nach Rationszusammensetzung variieren zwischen ca. 1 und 3</v>
      </c>
      <c r="B440" s="6" t="s">
        <v>287</v>
      </c>
      <c r="C440" s="6" t="s">
        <v>288</v>
      </c>
      <c r="D440" s="645"/>
    </row>
  </sheetData>
  <sheetProtection password="98F7" sheet="1" objects="1" scenarios="1"/>
  <conditionalFormatting sqref="D384">
    <cfRule type="expression" priority="1" dxfId="0" stopIfTrue="1">
      <formula>ISBLANK(D384)</formula>
    </cfRule>
    <cfRule type="cellIs" priority="2" dxfId="0" operator="equal" stopIfTrue="1">
      <formula>$C384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 Nachweis Version 8.8&amp;R&amp;"Arial,Standard"&amp;9Seite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AGRIDEA-BLW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GMF-PLVH</dc:title>
  <dc:subject/>
  <dc:creator>Irene Weyermann</dc:creator>
  <cp:keywords/>
  <dc:description/>
  <cp:lastModifiedBy>Irene Weyermann</cp:lastModifiedBy>
  <cp:lastPrinted>2019-03-15T15:15:04Z</cp:lastPrinted>
  <dcterms:created xsi:type="dcterms:W3CDTF">2012-10-26T08:14:52Z</dcterms:created>
  <dcterms:modified xsi:type="dcterms:W3CDTF">2019-03-15T15:16:07Z</dcterms:modified>
  <cp:category/>
  <cp:version/>
  <cp:contentType/>
  <cp:contentStatus/>
</cp:coreProperties>
</file>