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12690" activeTab="0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Texte" sheetId="5" state="hidden" r:id="rId5"/>
    <sheet name="Korr" sheetId="6" state="hidden" r:id="rId6"/>
  </sheets>
  <definedNames>
    <definedName name="AusblendSpalten" localSheetId="1">'Bilanz-bilan'!$T:$AF</definedName>
    <definedName name="AusblendSpalten" localSheetId="0">'README'!$I:$O</definedName>
    <definedName name="AusblendZeilen">'Bilanz-bilan'!$250:$303</definedName>
    <definedName name="_xlnm.Print_Area" localSheetId="1">'Bilanz-bilan'!$B$2:$T$178</definedName>
    <definedName name="_xlnm.Print_Area" localSheetId="3">'budget_partiel'!$A$1:$M$57</definedName>
    <definedName name="_xlnm.Print_Area" localSheetId="0">'README'!$A$1:$X$95</definedName>
    <definedName name="ID">"nicht identifiziert"</definedName>
    <definedName name="SprachIdx" localSheetId="4">'Texte'!$A$2</definedName>
    <definedName name="Startzelle" localSheetId="1">'Bilanz-bilan'!$A$1</definedName>
    <definedName name="Startzelle" localSheetId="3">'budget_partiel'!$A$1</definedName>
    <definedName name="Startzelle" localSheetId="0">'README'!$A$1</definedName>
    <definedName name="Startzelle" localSheetId="4">'Texte'!$A$1</definedName>
    <definedName name="Z_AB7369C7_DE08_4AD5_A530_2D676F998F11_.wvu.Cols" localSheetId="1" hidden="1">'Bilanz-bilan'!$AH:$AJ</definedName>
    <definedName name="Z_AB7369C7_DE08_4AD5_A530_2D676F998F11_.wvu.Cols" localSheetId="2" hidden="1">'Daten'!#REF!</definedName>
    <definedName name="Z_AB7369C7_DE08_4AD5_A530_2D676F998F11_.wvu.PrintArea" localSheetId="1" hidden="1">'Bilanz-bilan'!$A$2:$AJ$177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sharedStrings.xml><?xml version="1.0" encoding="utf-8"?>
<sst xmlns="http://schemas.openxmlformats.org/spreadsheetml/2006/main" count="1433" uniqueCount="1208">
  <si>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</si>
  <si>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</si>
  <si>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</si>
  <si>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</si>
  <si>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</si>
  <si>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</si>
  <si>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</si>
  <si>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</si>
  <si>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</si>
  <si>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</si>
  <si>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</si>
  <si>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</si>
  <si>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(B3+C4-C2)</t>
  </si>
  <si>
    <t>Tal</t>
  </si>
  <si>
    <t>Berg</t>
  </si>
  <si>
    <t>Übriges GF</t>
  </si>
  <si>
    <t>KF</t>
  </si>
  <si>
    <t>Teil D: Bilanz</t>
  </si>
  <si>
    <t>jours</t>
  </si>
  <si>
    <t>Vache mère, PV 600 kg ou plus, sans veau</t>
  </si>
  <si>
    <t>Zuchteber</t>
  </si>
  <si>
    <t>Zuchtschweine, säugend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</si>
  <si>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</si>
  <si>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</si>
  <si>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</si>
  <si>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</si>
  <si>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</si>
  <si>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</si>
  <si>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</si>
  <si>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</si>
  <si>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</si>
  <si>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</si>
  <si>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</si>
  <si>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</si>
  <si>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</si>
  <si>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</si>
  <si>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</si>
  <si>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</si>
  <si>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</si>
  <si>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</si>
  <si>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</si>
  <si>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</si>
  <si>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</si>
  <si>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</si>
  <si>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</si>
  <si>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</si>
  <si>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</si>
  <si>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</si>
  <si>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</si>
  <si>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</si>
  <si>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Rindviehmast intensiv &gt; 4 Monate</t>
  </si>
  <si>
    <t>Pferde über 3-jährig</t>
  </si>
  <si>
    <t>Zuchtstute inkl. Fohlen</t>
  </si>
  <si>
    <t>Fohlen 0.5 bis 3-jährig</t>
  </si>
  <si>
    <t>Poulains, 0.5 à 3 ans</t>
  </si>
  <si>
    <t>Ponys, Kleinpferde und Esel</t>
  </si>
  <si>
    <t>Bisons über 3-jährig</t>
  </si>
  <si>
    <t>Bisons bis 3-jährig (Zucht u. Mast)</t>
  </si>
  <si>
    <t>Lamas über 2-jährig</t>
  </si>
  <si>
    <t>Lamas unter 2-jährig</t>
  </si>
  <si>
    <t>Alpakas über 2-jährig</t>
  </si>
  <si>
    <t>Alpakas unter 2-jährig</t>
  </si>
  <si>
    <t>Wiesen- und</t>
  </si>
  <si>
    <t>Bison plus de 3 ans</t>
  </si>
  <si>
    <t>Bison moins de 3 ans</t>
  </si>
  <si>
    <t>Lama plus de 2 ans</t>
  </si>
  <si>
    <t>Lama moins de 2 ans</t>
  </si>
  <si>
    <t>Alpaga plus de 2 ans</t>
  </si>
  <si>
    <t>Zwischenfutter, Aeugstlen, Frühjahrsschnitt vor Umbruch</t>
  </si>
  <si>
    <t>55-135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</si>
  <si>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</si>
  <si>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</si>
  <si>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</si>
  <si>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</si>
  <si>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</si>
  <si>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</si>
  <si>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</si>
  <si>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</si>
  <si>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</si>
  <si>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</si>
  <si>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</si>
  <si>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</si>
  <si>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</si>
  <si>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</si>
  <si>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</si>
  <si>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</si>
  <si>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</si>
  <si>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</si>
  <si>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</si>
  <si>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</si>
  <si>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</si>
  <si>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</si>
  <si>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</si>
  <si>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</si>
  <si>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</si>
  <si>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</si>
  <si>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</si>
  <si>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</si>
  <si>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</si>
  <si>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</si>
  <si>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</si>
  <si>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</si>
  <si>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</si>
  <si>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</si>
  <si>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</si>
  <si>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</si>
  <si>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</si>
  <si>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</si>
  <si>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Mastschweineplatz / Remonten (25-100 kg)</t>
  </si>
  <si>
    <t>Porc à l'engrais/remonte (PPE) de 25-100 kg</t>
  </si>
  <si>
    <t>Galtsauenplatz</t>
  </si>
  <si>
    <t>GF-Verzehr zu hoch!</t>
  </si>
  <si>
    <t>Truie d'élevage, porcelets inclus 25-30 kg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</si>
  <si>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</si>
  <si>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</si>
  <si>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</si>
  <si>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</si>
  <si>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</si>
  <si>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</si>
  <si>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</si>
  <si>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</si>
  <si>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</si>
  <si>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</si>
  <si>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</si>
  <si>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</si>
  <si>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</si>
  <si>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</si>
  <si>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</si>
  <si>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</si>
  <si>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</si>
  <si>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</si>
  <si>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</si>
  <si>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</si>
  <si>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</si>
  <si>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</si>
  <si>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</si>
  <si>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</si>
  <si>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</si>
  <si>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</si>
  <si>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</si>
  <si>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</si>
  <si>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</si>
  <si>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>35-100</t>
  </si>
  <si>
    <t xml:space="preserve">intensifs         (2-6 utilisations)  </t>
  </si>
  <si>
    <t>Unité</t>
  </si>
  <si>
    <t>dt</t>
  </si>
  <si>
    <t xml:space="preserve">%    </t>
  </si>
  <si>
    <t>%</t>
  </si>
  <si>
    <t>Vache mère, PV 450 kg, sans veau</t>
  </si>
  <si>
    <t>Vache nourrice, 2 veaux par an, sans veau</t>
  </si>
  <si>
    <t>ausser FF</t>
  </si>
  <si>
    <t>Weidefutter</t>
  </si>
  <si>
    <t>weitere Raufutterverzehrende Tiere</t>
  </si>
  <si>
    <t>Rindvieh</t>
  </si>
  <si>
    <t>Grünfläche</t>
  </si>
  <si>
    <t>(160*0.13+205*0.33)/365</t>
  </si>
  <si>
    <t>Formel neue LBV</t>
  </si>
  <si>
    <t>Formel alte LBV</t>
  </si>
  <si>
    <t>(160*0.13+140*0.33)/300</t>
  </si>
  <si>
    <t>(40*0.13+205*0.33+60*0.4)/365</t>
  </si>
  <si>
    <t>(40*0.13+205*0.33+365*0.4)/610</t>
  </si>
  <si>
    <t>(95*0.33+135*0.4)/365</t>
  </si>
  <si>
    <t>Maximalerträge Wiesen, Weiden, ZF</t>
  </si>
  <si>
    <t>Maximalertrag ist überschritten!</t>
  </si>
  <si>
    <t>Le rendement maximal est dépassé!</t>
  </si>
  <si>
    <t>Hinweis:</t>
  </si>
  <si>
    <t>TS-Korrektur MiK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</si>
  <si>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</si>
  <si>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</si>
  <si>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</si>
  <si>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</si>
  <si>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</si>
  <si>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</si>
  <si>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</si>
  <si>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</si>
  <si>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</si>
  <si>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</si>
  <si>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</si>
  <si>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</si>
  <si>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</si>
  <si>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</si>
  <si>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</si>
  <si>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</si>
  <si>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</si>
  <si>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</si>
  <si>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</si>
  <si>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</si>
  <si>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</si>
  <si>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</si>
  <si>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</si>
  <si>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</si>
  <si>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</si>
  <si>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</si>
  <si>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Affouragement pdt ou betterave?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</si>
  <si>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</si>
  <si>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</si>
  <si>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</si>
  <si>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</si>
  <si>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</si>
  <si>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</si>
  <si>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</si>
  <si>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</si>
  <si>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moins de 1 an</t>
  </si>
  <si>
    <t>Bovin d'élevage, 1 à 2 ans</t>
  </si>
  <si>
    <t>Génisse, plus de 2 ans</t>
  </si>
  <si>
    <t>Veau à l'engrais, 50-200 kg</t>
  </si>
  <si>
    <t>Veau allaité jusqu'à env. 350 kg PV</t>
  </si>
  <si>
    <t>Veau allaité jusqu'à env. 400 kg PV</t>
  </si>
  <si>
    <t>Bovin à l'engrais, intensif, 65-520 kg</t>
  </si>
  <si>
    <t>Bovin à l'engrais, sevrage, &lt; 4 mois</t>
  </si>
  <si>
    <t>Bovin à l'engrais, intensif, &gt; 4 mois</t>
  </si>
  <si>
    <t>Bovin à l'engrais, pâturage, &gt; 4 mois</t>
  </si>
  <si>
    <t>Animaux consommant des fourrages grossiers sans consomm. de concentrés</t>
  </si>
  <si>
    <t>Autres animaux consommant des fourrages grossiers</t>
  </si>
  <si>
    <t>Jument avec poulain, concentré avoine (max. 700 kg)</t>
  </si>
  <si>
    <t>Autre cheval de plus de 3 ans, PV 550 kg</t>
  </si>
  <si>
    <t>Mulet et bardot, de tout âge</t>
  </si>
  <si>
    <t>Poney, petit cheval, âne de tout âge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</si>
  <si>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</si>
  <si>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</si>
  <si>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</si>
  <si>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</si>
  <si>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</si>
  <si>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Version: 1.3</t>
  </si>
  <si>
    <t>version: 1.3</t>
  </si>
  <si>
    <t>Versione: 1.3</t>
  </si>
  <si>
    <t>dazugehörende Suisse-Bilanz Aufl. 1.12, Juli 2014</t>
  </si>
  <si>
    <t>rispettivo Suisse-Bilanz Versione 1.12, luglio 2014</t>
  </si>
  <si>
    <t>correspondant Suisse-Bilanz Edition 1.12, juillet 2014</t>
  </si>
  <si>
    <t>Total Kraftfutterverbrauch für Milchkühe auf LN</t>
  </si>
  <si>
    <t>Conc. Tot. VL sur SAU</t>
  </si>
  <si>
    <t>Concentrati per vacca da latte nel SAU</t>
  </si>
  <si>
    <t>dt/Jahr</t>
  </si>
  <si>
    <t>dt/an</t>
  </si>
  <si>
    <t>dt/anno</t>
  </si>
  <si>
    <t>Berechnung: Menge KF MiK total/Anz. Korr.= durchschn. Menge KF/Kuh/Jahr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</si>
  <si>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</si>
  <si>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</si>
  <si>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</si>
  <si>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</si>
  <si>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</si>
  <si>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A3: Consommation de fourrage de base par les autres animaux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</si>
  <si>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</si>
  <si>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</si>
  <si>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</si>
  <si>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</si>
  <si>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</si>
  <si>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</si>
  <si>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Dérobées, semis de PA d'été, rompue de printemps (si récoltés)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</si>
  <si>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</si>
  <si>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</si>
  <si>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</si>
  <si>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</si>
  <si>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</si>
  <si>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</si>
  <si>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</si>
  <si>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</si>
  <si>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</si>
  <si>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</si>
  <si>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Ensilage de céréales plantes entières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</si>
  <si>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</si>
  <si>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</si>
  <si>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</si>
  <si>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</si>
  <si>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</si>
  <si>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</si>
  <si>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</si>
  <si>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</si>
  <si>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C3: Total achats issus de prairies et pâturages</t>
  </si>
  <si>
    <t>C4: Total achats d'autres fourrages</t>
  </si>
  <si>
    <t>C5: Fourrages produits sur l'exploitation hors surface fourragère</t>
  </si>
  <si>
    <t xml:space="preserve">C6: Pertes de conservation et à la crèche : 0-5% des besoins nets en fourrages   </t>
  </si>
  <si>
    <t xml:space="preserve">C7: Marge d'erreur sur le bilan de matière sèche (MS) : 0-5% des besoins nets en fourrages 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</si>
  <si>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</si>
  <si>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</si>
  <si>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</si>
  <si>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</si>
  <si>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</si>
  <si>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</si>
  <si>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Ammenkühe 2 Kälber / Jahr, ohne Kälber</t>
  </si>
  <si>
    <t>Daim, y c. petits, 1u.=2 animaux</t>
  </si>
  <si>
    <t>Cerf,  y c. petits, 1u.=2 animaux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</si>
  <si>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</si>
  <si>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</si>
  <si>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</si>
  <si>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</si>
  <si>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</si>
  <si>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</si>
  <si>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</si>
  <si>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</si>
  <si>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</si>
  <si>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</si>
  <si>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</si>
  <si>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C7: Fehlerbereich der Grundfutterbilanz: 0-5% vom Netto-Grundfutterbedarf</t>
  </si>
  <si>
    <t>C6: Zuzüglich Lagerungs- und Krippenverluste, 0-5% vom Netto-Grundfutterbedarf</t>
  </si>
  <si>
    <t>1.3 Beta</t>
  </si>
  <si>
    <t>(160*0.13+205*0.33+60*0.4)/400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</si>
  <si>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</si>
  <si>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</si>
  <si>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</si>
  <si>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</si>
  <si>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</si>
  <si>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</si>
  <si>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</si>
  <si>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</si>
  <si>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</si>
  <si>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</si>
  <si>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</si>
  <si>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</si>
  <si>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</si>
  <si>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</si>
  <si>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</si>
  <si>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</si>
  <si>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</si>
  <si>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</si>
  <si>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</si>
  <si>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</si>
  <si>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</si>
  <si>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</si>
  <si>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</si>
  <si>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</si>
  <si>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</si>
  <si>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</si>
  <si>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</si>
  <si>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</si>
  <si>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</si>
  <si>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</si>
  <si>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</si>
  <si>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</si>
  <si>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</si>
  <si>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</si>
  <si>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</si>
  <si>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</si>
  <si>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</si>
  <si>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</si>
  <si>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</si>
  <si>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</si>
  <si>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</si>
  <si>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</si>
  <si>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</si>
  <si>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</si>
  <si>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</si>
  <si>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</si>
  <si>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</si>
  <si>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</si>
  <si>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</si>
  <si>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</si>
  <si>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</si>
  <si>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</si>
  <si>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</si>
  <si>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</si>
  <si>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</si>
  <si>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</si>
  <si>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</si>
  <si>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</si>
  <si>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Consumo Ø di foraggio concentrato per vacca da latte</t>
  </si>
  <si>
    <t>Foraggiamento con patate o barbabietole da foraggio?</t>
  </si>
  <si>
    <t>Foraggiamento a discrezione?</t>
  </si>
  <si>
    <t>sì</t>
  </si>
  <si>
    <t>no</t>
  </si>
  <si>
    <t>Specie o categoria animale</t>
  </si>
  <si>
    <t>Unità</t>
  </si>
  <si>
    <t>Numero</t>
  </si>
  <si>
    <t>Deduzione /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</si>
  <si>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</si>
  <si>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</si>
  <si>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</si>
  <si>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</si>
  <si>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</si>
  <si>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</si>
  <si>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</si>
  <si>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</si>
  <si>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</si>
  <si>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</si>
  <si>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</si>
  <si>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</si>
  <si>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</si>
  <si>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</si>
  <si>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</si>
  <si>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</si>
  <si>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</si>
  <si>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Vacche madri pesanti (&gt;= 600 kg)</t>
  </si>
  <si>
    <t>Vacche madri leggere (450 kg)</t>
  </si>
  <si>
    <t>Vacche nutrici 2 vitelli / anno</t>
  </si>
  <si>
    <t>Bestiame giovane, 0-1 anno</t>
  </si>
  <si>
    <t>Bestiame giovane, 1-2 anni</t>
  </si>
  <si>
    <t>Manzi &gt;2 anni</t>
  </si>
  <si>
    <t>Vitelli da ingrasso (50-200 kg)</t>
  </si>
  <si>
    <t>Vitelli di vacche madri leggeri, circa 350 kg</t>
  </si>
  <si>
    <t>Vitelli di vacche madri pesanti, circa 400 kg</t>
  </si>
  <si>
    <t>Bovini da ingrasso, intensivo, 65-520 kg</t>
  </si>
  <si>
    <t>Bovini da ingrasso, svezzamento &lt; 4 mesi</t>
  </si>
  <si>
    <t>Bovini da ingrasso, intensivo &gt; 4 mesi</t>
  </si>
  <si>
    <t>GMF_86</t>
  </si>
  <si>
    <t>Falscher Zellbezug in Zelle W54: bisher auf Milchleistung MiK</t>
  </si>
  <si>
    <t>Neu auf Milchleistung andere Kühe (E42)</t>
  </si>
  <si>
    <t>Bovini da ingrasso, pascolo &gt; 4 mesi</t>
  </si>
  <si>
    <t>Bovini da ingrasso, finissaggio intensivo</t>
  </si>
  <si>
    <t>Tori da allevamento</t>
  </si>
  <si>
    <t>Animali che consumano foraggio grezzo senza foraggio concentrato (PLCSI misto)</t>
  </si>
  <si>
    <t xml:space="preserve">Altri animali che consumano foraggio grezzo </t>
  </si>
  <si>
    <t>Giumente da allevamento, puledri inclusi</t>
  </si>
  <si>
    <t>Giumente, puledri inclusi, avena come FC (max. 700 kg)</t>
  </si>
  <si>
    <t xml:space="preserve">Cavalli di oltre 3 anni </t>
  </si>
  <si>
    <t>Puledri 0.5-3 anni</t>
  </si>
  <si>
    <t>Muli o bardotti di ogni età</t>
  </si>
  <si>
    <t>Pony, piccoli cavalli e asini</t>
  </si>
  <si>
    <t>Agnelli e capretti da ingrasso al pascolo</t>
  </si>
  <si>
    <t>Daini, incl. bestiame giovane, 1 unità=2 animali</t>
  </si>
  <si>
    <t>Cervi, incl. bestiame giovane, 1 unità=2 animali</t>
  </si>
  <si>
    <t>Wapiti, incl. bestiame giovane, 1 unità=2 animali</t>
  </si>
  <si>
    <t>Bisonti di oltre 3 anni</t>
  </si>
  <si>
    <t>Bisonti fino a 3 anni (allevamento e ingrasso)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</si>
  <si>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</si>
  <si>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</si>
  <si>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</si>
  <si>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</si>
  <si>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</si>
  <si>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</si>
  <si>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Struzzi &lt; 13 mesi</t>
  </si>
  <si>
    <t>Posta suini da ingrasso / rimonte (25-100 kg)</t>
  </si>
  <si>
    <t>Suini da ingrasso / rimonte (25-100 kg)</t>
  </si>
  <si>
    <t>Suini da allevamento incl. suinetti 25-30 kg</t>
  </si>
  <si>
    <t>Posta da scrofa in asciutta</t>
  </si>
  <si>
    <t>Scrofe in asciutta, per ciclo</t>
  </si>
  <si>
    <t>Scrofe riproduttrici, in lattazione</t>
  </si>
  <si>
    <t>Scrofe riproduttrici, in lattazione, per ciclo</t>
  </si>
  <si>
    <t>Verri da allevamento</t>
  </si>
  <si>
    <t>Suinetti svezzati fino a 25-30 kg</t>
  </si>
  <si>
    <t>Prova necessaria!</t>
  </si>
  <si>
    <t>Consumo FB troppo elevato!</t>
  </si>
  <si>
    <t>A1: consumo di foraggio di base di tutti gli animali</t>
  </si>
  <si>
    <t xml:space="preserve">A2: consumo di foraggio di base degli animali che consumano foraggio grezzo </t>
  </si>
  <si>
    <t>A3: consumo di foraggio di base degli altri animali</t>
  </si>
  <si>
    <t>A4: consumo foraggio concentrato delle categorie aventi diritto</t>
  </si>
  <si>
    <t>A5: consumo totale degli animali che consumano foraggio grezzo</t>
  </si>
  <si>
    <t>Parte B: produzione di foraggio di base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</si>
  <si>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</si>
  <si>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</si>
  <si>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</si>
  <si>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</si>
  <si>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</si>
  <si>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</si>
  <si>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</si>
  <si>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</si>
  <si>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</si>
  <si>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</si>
  <si>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</si>
  <si>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</si>
  <si>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</si>
  <si>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</si>
  <si>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</si>
  <si>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</si>
  <si>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</si>
  <si>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</si>
  <si>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</si>
  <si>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</si>
  <si>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</si>
  <si>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</si>
  <si>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</si>
  <si>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</si>
  <si>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</si>
  <si>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</si>
  <si>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</si>
  <si>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 xml:space="preserve">      munti delle seguenti categorie: vacche da latte, capre e pecore. Indicare le quantità effettive.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</si>
  <si>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</si>
  <si>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</si>
  <si>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</si>
  <si>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</si>
  <si>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</si>
  <si>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</si>
  <si>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B2: produzione di foraggio di base prati e pascoli</t>
  </si>
  <si>
    <t>B3: altra produzione di foraggio di base</t>
  </si>
  <si>
    <t>È superata la resa massima!</t>
  </si>
  <si>
    <t>minima di animali</t>
  </si>
  <si>
    <t>Prati artificiali</t>
  </si>
  <si>
    <t>Differenza di superficie di:</t>
  </si>
  <si>
    <t>Parte C: ritiri e cessioni di foraggio di base</t>
  </si>
  <si>
    <t>Consumo foraggio di base nell'azienda</t>
  </si>
  <si>
    <t>Ritiri e cessioni di foraggio di base e produzione di foraggio di base al di fuori della superficie foraggera (SF)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</si>
  <si>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</si>
  <si>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</si>
  <si>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</si>
  <si>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</si>
  <si>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</si>
  <si>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</si>
  <si>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</si>
  <si>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</si>
  <si>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</si>
  <si>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</si>
  <si>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</si>
  <si>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 xml:space="preserve">Insilato di cereali pianta intera 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</si>
  <si>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</si>
  <si>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</si>
  <si>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</si>
  <si>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</si>
  <si>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</si>
  <si>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</si>
  <si>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</si>
  <si>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</si>
  <si>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</si>
  <si>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</si>
  <si>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</si>
  <si>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</si>
  <si>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</si>
  <si>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</si>
  <si>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</si>
  <si>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</si>
  <si>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C6: più perdite da stoccaggio e da foraggiamento, 0,5% del fabbisogno foraggio di base netto </t>
  </si>
  <si>
    <t>C7: margine d'errore del bilancio del foraggio di base:0-5%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</si>
  <si>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</si>
  <si>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</si>
  <si>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</si>
  <si>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</si>
  <si>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</si>
  <si>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</si>
  <si>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</si>
  <si>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</si>
  <si>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</si>
  <si>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</si>
  <si>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</si>
  <si>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</si>
  <si>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</si>
  <si>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</si>
  <si>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</si>
  <si>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Biertreber</t>
  </si>
  <si>
    <t>Drêches de brasserie</t>
  </si>
  <si>
    <t>Borlande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</si>
  <si>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</si>
  <si>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</si>
  <si>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</si>
  <si>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</si>
  <si>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</si>
  <si>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</si>
  <si>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</si>
  <si>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</si>
  <si>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</si>
  <si>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</si>
  <si>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</si>
  <si>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</si>
  <si>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</si>
  <si>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</si>
  <si>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</si>
  <si>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</si>
  <si>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</si>
  <si>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</si>
  <si>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</si>
  <si>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</si>
  <si>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</si>
  <si>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</si>
  <si>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</si>
  <si>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</si>
  <si>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</si>
  <si>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</si>
  <si>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</si>
  <si>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</si>
  <si>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</si>
  <si>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</si>
  <si>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patate o barbabietole da foraggio?</t>
  </si>
  <si>
    <t>Foglie di barbabietola</t>
  </si>
  <si>
    <t>Cubetti d'erba</t>
  </si>
  <si>
    <t>Cubetti da mais pianta intera</t>
  </si>
  <si>
    <t>Foraggio essiccato, a tenore ridotto di sost. nutri.</t>
  </si>
  <si>
    <t xml:space="preserve"> sfalci primaverili prima del dissodamento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</si>
  <si>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</si>
  <si>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</si>
  <si>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</si>
  <si>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</si>
  <si>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</si>
  <si>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</si>
  <si>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</si>
  <si>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</si>
  <si>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</si>
  <si>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</si>
  <si>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</si>
  <si>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</si>
  <si>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</si>
  <si>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</si>
  <si>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</si>
  <si>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</si>
  <si>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</si>
  <si>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</si>
  <si>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</si>
  <si>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</si>
  <si>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</si>
  <si>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Berechnung: Menge KF andere Kühe total/Anz. Korr.= durchschn. Menge KF/Kuh/Jahr</t>
  </si>
  <si>
    <t xml:space="preserve">Die Berechnung des massgebenden Tierbesatzes für die Futterbilanz 2015 basiert auf dem effektiven </t>
  </si>
  <si>
    <t xml:space="preserve">Tierbestand in der Periode vom 1.1.2015 - 31.12.2015. Weil dieser zur Zeit noch nicht bekannt ist, </t>
  </si>
  <si>
    <t>Le calcul de la charge effective en bétail pour le bilan fourrager 2015 s’appuie sur les effectifs déterminants</t>
  </si>
  <si>
    <t>d’animaux pour la période 1.1.2015 – 31.12.2015. Comme ces derniers ne sont pas encore connus, le montant</t>
  </si>
  <si>
    <t xml:space="preserve">Il calcolo del carico effettivo di bestiame per il bilancio foraggero 2015 si basa sugli effettivi </t>
  </si>
  <si>
    <t>animali per il periodo 1.1.2015 – 31.12.2015. Siccome questi ultimi non sono ancora noti, l'importo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</si>
  <si>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</si>
  <si>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</si>
  <si>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</si>
  <si>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</si>
  <si>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</si>
  <si>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</si>
  <si>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</si>
  <si>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</si>
  <si>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</si>
  <si>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</si>
  <si>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</si>
  <si>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ausblenden T-AF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</si>
  <si>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</si>
  <si>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</si>
  <si>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</si>
  <si>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</si>
  <si>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</si>
  <si>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</si>
  <si>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</si>
  <si>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</si>
  <si>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</si>
  <si>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</si>
  <si>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Kraftfuttermenge aufgrund Milchleistung (andere Kühe)</t>
  </si>
  <si>
    <t>Kraftfuttermenge aufgrund Milchleistung (Milchkühe)</t>
  </si>
  <si>
    <t>Tab. für SVerweis für Kraftfutterberechnung</t>
  </si>
  <si>
    <t>Berechnung GF-Korrektur aufgrund Kfmenge (Milchkühe)</t>
  </si>
  <si>
    <t>Berechnung GF-Korrektur aufgrund Kfmenge (andere Kühe)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</si>
  <si>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</si>
  <si>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</si>
  <si>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</si>
  <si>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</si>
  <si>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</si>
  <si>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</si>
  <si>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</si>
  <si>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</si>
  <si>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</si>
  <si>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</si>
  <si>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</si>
  <si>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</si>
  <si>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</si>
  <si>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</si>
  <si>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</si>
  <si>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</si>
  <si>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</si>
  <si>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</si>
  <si>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</si>
  <si>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</si>
  <si>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</si>
  <si>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</si>
  <si>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</si>
  <si>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</si>
  <si>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</si>
  <si>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</si>
  <si>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</si>
  <si>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</si>
  <si>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</si>
  <si>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</si>
  <si>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</si>
  <si>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</si>
  <si>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</si>
  <si>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</si>
  <si>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</si>
  <si>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</si>
  <si>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</si>
  <si>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</si>
  <si>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</si>
  <si>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</si>
  <si>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</si>
  <si>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</si>
  <si>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</si>
  <si>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</si>
  <si>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</si>
  <si>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</si>
  <si>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</si>
  <si>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</si>
  <si>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</si>
  <si>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</si>
  <si>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GMF_85</t>
  </si>
  <si>
    <t xml:space="preserve">    - Alle Tierarten mit Grundfutterverzehr erfassen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</si>
  <si>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</si>
  <si>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</si>
  <si>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</si>
  <si>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</si>
  <si>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</si>
  <si>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</si>
  <si>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</si>
  <si>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</si>
  <si>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</si>
  <si>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</si>
  <si>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</si>
  <si>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</si>
  <si>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</si>
  <si>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</si>
  <si>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</si>
  <si>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</si>
  <si>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</si>
  <si>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</si>
  <si>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</si>
  <si>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</si>
  <si>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</si>
  <si>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</si>
  <si>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</si>
  <si>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</si>
  <si>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</si>
  <si>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</si>
  <si>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</si>
  <si>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</si>
  <si>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</si>
  <si>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</si>
  <si>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 xml:space="preserve">      Milchschafe und Ziegen. Effektive Menge eingeben.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</si>
  <si>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</si>
  <si>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</si>
  <si>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</si>
  <si>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</si>
  <si>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</si>
  <si>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</si>
  <si>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</si>
  <si>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</si>
  <si>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</si>
  <si>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</si>
  <si>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</si>
  <si>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</si>
  <si>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</si>
  <si>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</si>
  <si>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</si>
  <si>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 xml:space="preserve">      traits des catégories suivantes : vaches laitières, chèvres et brebis. Indiquer les quantités effectives.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</si>
  <si>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</si>
  <si>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</si>
  <si>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</si>
  <si>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</si>
  <si>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</si>
  <si>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</si>
  <si>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</si>
  <si>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</si>
  <si>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</si>
  <si>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</si>
  <si>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</si>
  <si>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</si>
  <si>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</si>
  <si>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</si>
  <si>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</si>
  <si>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</si>
  <si>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</si>
  <si>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</si>
  <si>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</si>
  <si>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</si>
  <si>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</si>
  <si>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</si>
  <si>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</si>
  <si>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</si>
  <si>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</si>
  <si>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</si>
  <si>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</si>
  <si>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</si>
  <si>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</si>
  <si>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</si>
  <si>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</si>
  <si>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</si>
  <si>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</si>
  <si>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</si>
  <si>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</si>
  <si>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</si>
  <si>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</si>
  <si>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</si>
  <si>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</si>
  <si>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</si>
  <si>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</si>
  <si>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</si>
  <si>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</si>
  <si>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</si>
  <si>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</si>
  <si>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</si>
  <si>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</si>
  <si>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</si>
  <si>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</si>
  <si>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</si>
  <si>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</si>
  <si>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</si>
  <si>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</si>
  <si>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</si>
  <si>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</si>
  <si>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</si>
  <si>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</si>
  <si>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</si>
  <si>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</si>
  <si>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</si>
  <si>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</si>
  <si>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</si>
  <si>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</si>
  <si>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</si>
  <si>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</si>
  <si>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</si>
  <si>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</si>
  <si>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</si>
  <si>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</si>
  <si>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</si>
  <si>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</si>
  <si>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</si>
  <si>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</si>
  <si>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</si>
  <si>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</si>
  <si>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</si>
  <si>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</si>
  <si>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</si>
  <si>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</si>
  <si>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</si>
  <si>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</si>
  <si>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</si>
  <si>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</si>
  <si>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</si>
  <si>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</si>
  <si>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</si>
  <si>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</si>
  <si>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</si>
  <si>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</si>
  <si>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</si>
  <si>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</si>
  <si>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</si>
  <si>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</si>
  <si>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</si>
  <si>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</si>
  <si>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</si>
  <si>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</si>
  <si>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</si>
  <si>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</si>
  <si>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</si>
  <si>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</si>
  <si>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</si>
  <si>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</si>
  <si>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</si>
  <si>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</si>
  <si>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</si>
  <si>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</si>
  <si>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</si>
  <si>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</si>
  <si>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</si>
  <si>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</si>
  <si>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</si>
  <si>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</si>
  <si>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</si>
  <si>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</si>
  <si>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</si>
  <si>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</si>
  <si>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</si>
  <si>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</si>
  <si>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</si>
  <si>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</si>
  <si>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</si>
  <si>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</si>
  <si>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</si>
  <si>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</si>
  <si>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</si>
  <si>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</si>
  <si>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</si>
  <si>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</si>
  <si>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</si>
  <si>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</si>
  <si>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</si>
  <si>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</si>
  <si>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</si>
  <si>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</si>
  <si>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</si>
  <si>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</si>
  <si>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</si>
  <si>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</si>
  <si>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</si>
  <si>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</si>
  <si>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</si>
  <si>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</si>
  <si>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</si>
  <si>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</si>
  <si>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</si>
  <si>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</si>
  <si>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</si>
  <si>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</si>
  <si>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</si>
  <si>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</si>
  <si>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</si>
  <si>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</si>
  <si>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</si>
  <si>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</si>
  <si>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</si>
  <si>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</si>
  <si>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</si>
  <si>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</si>
  <si>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</si>
  <si>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</si>
  <si>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</si>
  <si>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</si>
  <si>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</si>
  <si>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</si>
  <si>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</si>
  <si>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</si>
  <si>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</si>
  <si>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</si>
  <si>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</si>
  <si>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</si>
  <si>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</si>
  <si>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</si>
  <si>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</si>
  <si>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</si>
  <si>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</si>
  <si>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</si>
  <si>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</si>
  <si>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</si>
  <si>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</si>
  <si>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</si>
  <si>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</si>
  <si>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</si>
  <si>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</si>
  <si>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</si>
  <si>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</si>
  <si>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</si>
  <si>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</si>
  <si>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</si>
  <si>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</si>
  <si>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</si>
  <si>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</si>
  <si>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</si>
  <si>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</si>
  <si>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</si>
  <si>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</si>
  <si>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</si>
  <si>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</si>
  <si>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</si>
  <si>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</si>
  <si>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</si>
  <si>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</si>
  <si>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</si>
  <si>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</si>
  <si>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</si>
  <si>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</si>
  <si>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</si>
  <si>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</si>
  <si>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</si>
  <si>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</si>
  <si>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Getreide-Ganzpflanzensilage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</si>
  <si>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</si>
  <si>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</si>
  <si>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</si>
  <si>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</si>
  <si>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</si>
  <si>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</si>
  <si>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</si>
  <si>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</si>
  <si>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</si>
  <si>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</si>
  <si>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</si>
  <si>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</si>
  <si>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</si>
  <si>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</si>
  <si>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</si>
  <si>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</si>
  <si>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</si>
  <si>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A3: Grundfutterverzehr übrige Tiere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</si>
  <si>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</si>
  <si>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</si>
  <si>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</si>
  <si>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</si>
  <si>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</si>
  <si>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</si>
  <si>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</si>
  <si>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</si>
  <si>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</si>
  <si>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</si>
  <si>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</si>
  <si>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</si>
  <si>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</si>
  <si>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</si>
  <si>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</si>
  <si>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</si>
  <si>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</si>
  <si>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</si>
  <si>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</si>
  <si>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</si>
  <si>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</si>
  <si>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</si>
  <si>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</si>
  <si>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</si>
  <si>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</si>
  <si>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</si>
  <si>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</si>
  <si>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</si>
  <si>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</si>
  <si>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</si>
  <si>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</si>
  <si>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</si>
  <si>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</si>
  <si>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</si>
  <si>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</si>
  <si>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</si>
  <si>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</si>
  <si>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</si>
  <si>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</si>
  <si>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</si>
  <si>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</si>
  <si>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</si>
  <si>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</si>
  <si>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</si>
  <si>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</si>
  <si>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</si>
  <si>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</si>
  <si>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</si>
  <si>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</si>
  <si>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</si>
  <si>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</si>
  <si>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</si>
  <si>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</si>
  <si>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 xml:space="preserve">A6: consumo di foraggio di base degli animali che consumano foraggio grezzo </t>
  </si>
  <si>
    <t>A7: Kraftfutterverzehr berechtigte Kategorien</t>
  </si>
  <si>
    <t xml:space="preserve">A7: Consommation de concentrés par les animaux autorisés </t>
  </si>
  <si>
    <t>A7: consumo foraggio concentrato delle categorie aventi diritto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</si>
  <si>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</si>
  <si>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</si>
  <si>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</si>
  <si>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</si>
  <si>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</si>
  <si>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</si>
  <si>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</si>
  <si>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(A5+A6+A7+C6+C7)</t>
  </si>
  <si>
    <t>(B2+A6+C3-C1-A3)</t>
  </si>
  <si>
    <t>(A4+A7 in TS)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</si>
  <si>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</si>
  <si>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</si>
  <si>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</si>
  <si>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</si>
  <si>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</si>
  <si>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</si>
  <si>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</si>
  <si>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</si>
  <si>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</si>
  <si>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</si>
  <si>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</si>
  <si>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Fütterung von Kartoffeln oder Futterrüben?</t>
  </si>
  <si>
    <t>ad libitum-Fütterung?</t>
  </si>
  <si>
    <t>Affouragement libre service?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</si>
  <si>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</si>
  <si>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</si>
  <si>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</si>
  <si>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</si>
  <si>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</si>
  <si>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</si>
  <si>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</si>
  <si>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</si>
  <si>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</si>
  <si>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</si>
  <si>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</si>
  <si>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</si>
  <si>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</si>
  <si>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</si>
  <si>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</si>
  <si>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</si>
  <si>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</si>
  <si>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</si>
  <si>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</si>
  <si>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</si>
  <si>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</si>
  <si>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</si>
  <si>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</si>
  <si>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</si>
  <si>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</si>
  <si>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</si>
  <si>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</si>
  <si>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</si>
  <si>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</si>
  <si>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</si>
  <si>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</si>
  <si>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</si>
  <si>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</si>
  <si>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</si>
  <si>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</si>
  <si>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</si>
  <si>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</si>
  <si>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</si>
  <si>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</si>
  <si>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</si>
  <si>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</si>
  <si>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</si>
  <si>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</si>
  <si>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</si>
  <si>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</si>
  <si>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</si>
  <si>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</si>
  <si>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</si>
  <si>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</si>
  <si>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</si>
  <si>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</si>
  <si>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</si>
  <si>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</si>
  <si>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</si>
  <si>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</si>
  <si>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</si>
  <si>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</si>
  <si>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</si>
  <si>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</si>
  <si>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0 bis 1-jährig</t>
  </si>
  <si>
    <t>Jungvieh, 1 bis 2-jährig</t>
  </si>
  <si>
    <t>Rinder &gt;2-jährig</t>
  </si>
  <si>
    <t>Rindviehmast Tränker &lt; 4 Mte.</t>
  </si>
  <si>
    <t>Rindviehmast Weidemast &gt; 4 Monate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</si>
  <si>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</si>
  <si>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</si>
  <si>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</si>
  <si>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</si>
  <si>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</si>
  <si>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</si>
  <si>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</si>
  <si>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</si>
  <si>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</si>
  <si>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</si>
  <si>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</si>
  <si>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</si>
  <si>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</si>
  <si>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</si>
  <si>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</si>
  <si>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>Porcelet sevré jusqu'à 25-30 kg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</si>
  <si>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</si>
  <si>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</si>
  <si>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</si>
  <si>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</si>
  <si>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</si>
  <si>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</si>
  <si>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</si>
  <si>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</si>
  <si>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</si>
  <si>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</si>
  <si>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</si>
  <si>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</si>
  <si>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Bovin à l'engrais finition (intensive)</t>
  </si>
  <si>
    <t>Taureau d'élevage</t>
  </si>
  <si>
    <t>Jument avec poulain</t>
  </si>
  <si>
    <t>Agneau engraissé au pâturage</t>
  </si>
  <si>
    <t>Brebis laitière, y c. agneaux et part de bélier</t>
  </si>
  <si>
    <t>Alpaga moins de 2 ans</t>
  </si>
  <si>
    <t>Truie non allaitante</t>
  </si>
  <si>
    <t>Truie non allaitante, par rotation</t>
  </si>
  <si>
    <t>Truie allaitante, y c. porcelets</t>
  </si>
  <si>
    <t>Truie allaitante, y c. porcelets,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</si>
  <si>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</si>
  <si>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</si>
  <si>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</si>
  <si>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</si>
  <si>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</si>
  <si>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</si>
  <si>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</si>
  <si>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</si>
  <si>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</si>
  <si>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</si>
  <si>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</si>
  <si>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</si>
  <si>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</si>
  <si>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</si>
  <si>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</si>
  <si>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</si>
  <si>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</si>
  <si>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</si>
  <si>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</si>
  <si>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</si>
  <si>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</si>
  <si>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</si>
  <si>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(120*0.1+245*0.3+60*0.4)/365</t>
  </si>
  <si>
    <t>(95*0.3+135*0.4)/365</t>
  </si>
  <si>
    <t>(120*0.1+245*0.3)/365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</si>
  <si>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</si>
  <si>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</si>
  <si>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</si>
  <si>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</si>
  <si>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</si>
  <si>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</si>
  <si>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</si>
  <si>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</si>
  <si>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</si>
  <si>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</si>
  <si>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</si>
  <si>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</si>
  <si>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</si>
  <si>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</si>
  <si>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</si>
  <si>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</si>
  <si>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</si>
  <si>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</si>
  <si>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</si>
  <si>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</si>
  <si>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</si>
  <si>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</si>
  <si>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</si>
  <si>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</si>
  <si>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</si>
  <si>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</si>
  <si>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</si>
  <si>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</si>
  <si>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</si>
  <si>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</si>
  <si>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</si>
  <si>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Mutterkühe schwer (&gt;= 600 kg)</t>
  </si>
  <si>
    <t>Mutterkühe leicht (450 kg)</t>
  </si>
  <si>
    <t>Mutterkuhkälber leicht, ca 350 kg</t>
  </si>
  <si>
    <t>Mutterkuhkälber schwer, ca 400 kg</t>
  </si>
  <si>
    <t>Rindviehmast, intensive Ausmast</t>
  </si>
  <si>
    <t>Zuchtstier</t>
  </si>
  <si>
    <t>Stute inkl. Fohlen, Hafer als KF (max. 700 kg)</t>
  </si>
  <si>
    <t>Maultiere, Maulesel jeden Alters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</si>
  <si>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</si>
  <si>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</si>
  <si>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</si>
  <si>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</si>
  <si>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</si>
  <si>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Porc à l'engrais/remonte de 25-100 kg</t>
  </si>
  <si>
    <t>Galtsauen, pro Umtrieb</t>
  </si>
  <si>
    <t>Zuchtschweine, säugend, pro Umtrieb</t>
  </si>
  <si>
    <t>Ferkel abgesetzt bis 25-30 kg</t>
  </si>
  <si>
    <t>Zuchtschweine inkl. Ferkel 25-30 kg</t>
  </si>
  <si>
    <t>Mastschweine / Remonten (25-100 kg)</t>
  </si>
  <si>
    <t>Rindviehmast intensiv, 65-520 kg</t>
  </si>
  <si>
    <t>1 = Verkauf</t>
  </si>
  <si>
    <t>2 = Zukauf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</si>
</sst>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General_)"/>
    <numFmt numFmtId="171" formatCode="0_)"/>
    <numFmt numFmtId="172" formatCode="0.00_)"/>
    <numFmt numFmtId="173" formatCode="0.0_)"/>
    <numFmt numFmtId="174" formatCode="0.0"/>
    <numFmt numFmtId="175" formatCode="\(0.00\)"/>
    <numFmt numFmtId="176" formatCode="0__"/>
    <numFmt numFmtId="177" formatCode="0.0__"/>
    <numFmt numFmtId="178" formatCode="0_)\ "/>
    <numFmt numFmtId="179" formatCode="0\ %"/>
    <numFmt numFmtId="180" formatCode="0.0000"/>
    <numFmt numFmtId="181" formatCode="0.0\ &quot;%&quot;"/>
    <numFmt numFmtId="182" formatCode="\ \ \ \ \ @"/>
    <numFmt numFmtId="183" formatCode="0\ &quot;m.ü.M.&quot;"/>
    <numFmt numFmtId="184" formatCode="0\ &quot;Tage&quot;"/>
    <numFmt numFmtId="185" formatCode="0.00\ &quot;ha&quot;"/>
    <numFmt numFmtId="186" formatCode="0.0\ &quot;kg/Stk.&quot;"/>
    <numFmt numFmtId="187" formatCode="0\ &quot;m.ü.M&quot;"/>
    <numFmt numFmtId="188" formatCode="\-0_)"/>
    <numFmt numFmtId="189" formatCode="\(__"/>
    <numFmt numFmtId="190" formatCode="#,##0_)"/>
    <numFmt numFmtId="191" formatCode="0.000"/>
    <numFmt numFmtId="192" formatCode="0\ &quot;m&quot;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__0.00"/>
    <numFmt numFmtId="198" formatCode="____0.00"/>
    <numFmt numFmtId="199" formatCode="\(____0.00"/>
    <numFmt numFmtId="200" formatCode="___0.00"/>
    <numFmt numFmtId="201" formatCode="_0.00"/>
    <numFmt numFmtId="202" formatCode="mmm\ yyyy"/>
    <numFmt numFmtId="203" formatCode="#,##0_ ;[Red]\-#,##0\ "/>
  </numFmts>
  <fonts count="9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0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83" fillId="44" borderId="1" applyNumberFormat="0" applyAlignment="0" applyProtection="0"/>
    <xf numFmtId="0" fontId="4" fillId="0" borderId="0" applyNumberFormat="0" applyFill="0" applyBorder="0" applyAlignment="0" applyProtection="0"/>
    <xf numFmtId="0" fontId="84" fillId="44" borderId="2" applyNumberFormat="0" applyAlignment="0" applyProtection="0"/>
    <xf numFmtId="0" fontId="30" fillId="0" borderId="0" applyNumberFormat="0" applyFill="0" applyBorder="0" applyAlignment="0" applyProtection="0"/>
    <xf numFmtId="0" fontId="5" fillId="45" borderId="3" applyNumberFormat="0" applyAlignment="0" applyProtection="0"/>
    <xf numFmtId="0" fontId="6" fillId="0" borderId="4" applyNumberFormat="0" applyFill="0" applyAlignment="0" applyProtection="0"/>
    <xf numFmtId="0" fontId="7" fillId="46" borderId="5" applyNumberFormat="0" applyFont="0" applyAlignment="0" applyProtection="0"/>
    <xf numFmtId="0" fontId="36" fillId="0" borderId="0">
      <alignment/>
      <protection/>
    </xf>
    <xf numFmtId="0" fontId="37" fillId="0" borderId="0">
      <alignment/>
      <protection locked="0"/>
    </xf>
    <xf numFmtId="41" fontId="0" fillId="0" borderId="0" applyFont="0" applyFill="0" applyBorder="0" applyAlignment="0" applyProtection="0"/>
    <xf numFmtId="0" fontId="85" fillId="47" borderId="2" applyNumberFormat="0" applyAlignment="0" applyProtection="0"/>
    <xf numFmtId="0" fontId="8" fillId="13" borderId="3" applyNumberFormat="0" applyAlignment="0" applyProtection="0"/>
    <xf numFmtId="0" fontId="86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48" borderId="0" applyNumberFormat="0" applyBorder="0" applyAlignment="0" applyProtection="0"/>
    <xf numFmtId="0" fontId="10" fillId="9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9" fillId="49" borderId="0" applyNumberFormat="0" applyBorder="0" applyAlignment="0" applyProtection="0"/>
    <xf numFmtId="0" fontId="11" fillId="50" borderId="0" applyNumberFormat="0" applyBorder="0" applyAlignment="0" applyProtection="0"/>
    <xf numFmtId="174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1" borderId="7" applyNumberFormat="0" applyFont="0" applyAlignment="0" applyProtection="0"/>
    <xf numFmtId="9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90" fillId="52" borderId="0" applyNumberFormat="0" applyBorder="0" applyAlignment="0" applyProtection="0"/>
    <xf numFmtId="0" fontId="13" fillId="45" borderId="8" applyNumberFormat="0" applyAlignment="0" applyProtection="0"/>
    <xf numFmtId="174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14" applyNumberFormat="0" applyFill="0" applyAlignment="0" applyProtection="0"/>
    <xf numFmtId="0" fontId="94" fillId="0" borderId="15" applyNumberFormat="0" applyFill="0" applyAlignment="0" applyProtection="0"/>
    <xf numFmtId="0" fontId="94" fillId="0" borderId="0" applyNumberFormat="0" applyFill="0" applyBorder="0" applyAlignment="0" applyProtection="0"/>
    <xf numFmtId="0" fontId="20" fillId="53" borderId="16" applyNumberFormat="0" applyAlignment="0" applyProtection="0"/>
    <xf numFmtId="0" fontId="9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54" borderId="18" applyNumberFormat="0" applyAlignment="0" applyProtection="0"/>
  </cellStyleXfs>
  <cellXfs count="657">
    <xf numFmtId="0" fontId="0" fillId="0" borderId="0" xfId="0" applyAlignment="1">
      <alignment/>
    </xf>
    <xf numFmtId="174" fontId="0" fillId="0" borderId="0" xfId="93" applyFont="1">
      <alignment/>
      <protection/>
    </xf>
    <xf numFmtId="174" fontId="0" fillId="0" borderId="19" xfId="93" applyFont="1" applyBorder="1" applyAlignment="1" applyProtection="1">
      <alignment vertical="center"/>
      <protection/>
    </xf>
    <xf numFmtId="173" fontId="0" fillId="0" borderId="20" xfId="93" applyNumberFormat="1" applyFont="1" applyFill="1" applyBorder="1" applyAlignment="1" applyProtection="1">
      <alignment vertical="center"/>
      <protection/>
    </xf>
    <xf numFmtId="171" fontId="0" fillId="46" borderId="20" xfId="93" applyNumberFormat="1" applyFont="1" applyFill="1" applyBorder="1" applyAlignment="1" applyProtection="1">
      <alignment vertical="center"/>
      <protection locked="0"/>
    </xf>
    <xf numFmtId="171" fontId="0" fillId="46" borderId="21" xfId="93" applyNumberFormat="1" applyFont="1" applyFill="1" applyBorder="1" applyAlignment="1" applyProtection="1">
      <alignment vertical="center"/>
      <protection locked="0"/>
    </xf>
    <xf numFmtId="181" fontId="0" fillId="46" borderId="22" xfId="93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174" fontId="41" fillId="0" borderId="0" xfId="93" applyFont="1" applyAlignment="1">
      <alignment horizontal="center" vertical="center"/>
      <protection/>
    </xf>
    <xf numFmtId="2" fontId="0" fillId="0" borderId="0" xfId="93" applyNumberFormat="1" applyFont="1">
      <alignment/>
      <protection/>
    </xf>
    <xf numFmtId="1" fontId="41" fillId="55" borderId="0" xfId="93" applyNumberFormat="1" applyFont="1" applyFill="1" applyBorder="1" applyAlignment="1">
      <alignment horizontal="center" vertical="center"/>
      <protection/>
    </xf>
    <xf numFmtId="1" fontId="41" fillId="55" borderId="24" xfId="93" applyNumberFormat="1" applyFont="1" applyFill="1" applyBorder="1" applyAlignment="1">
      <alignment horizontal="center" vertical="center"/>
      <protection/>
    </xf>
    <xf numFmtId="174" fontId="24" fillId="0" borderId="25" xfId="93" applyFont="1" applyBorder="1" applyAlignment="1">
      <alignment/>
      <protection/>
    </xf>
    <xf numFmtId="174" fontId="24" fillId="0" borderId="26" xfId="93" applyFont="1" applyBorder="1" applyAlignment="1">
      <alignment/>
      <protection/>
    </xf>
    <xf numFmtId="174" fontId="24" fillId="0" borderId="27" xfId="93" applyFont="1" applyBorder="1" applyAlignment="1">
      <alignment/>
      <protection/>
    </xf>
    <xf numFmtId="174" fontId="0" fillId="0" borderId="25" xfId="93" applyFont="1" applyBorder="1" applyAlignment="1">
      <alignment/>
      <protection/>
    </xf>
    <xf numFmtId="174" fontId="0" fillId="0" borderId="28" xfId="93" applyFont="1" applyBorder="1" applyAlignment="1">
      <alignment/>
      <protection/>
    </xf>
    <xf numFmtId="174" fontId="0" fillId="0" borderId="29" xfId="93" applyFont="1" applyBorder="1" applyAlignment="1">
      <alignment/>
      <protection/>
    </xf>
    <xf numFmtId="174" fontId="24" fillId="0" borderId="28" xfId="93" applyFont="1" applyBorder="1" applyAlignment="1">
      <alignment/>
      <protection/>
    </xf>
    <xf numFmtId="174" fontId="24" fillId="0" borderId="29" xfId="93" applyFont="1" applyBorder="1" applyAlignment="1">
      <alignment/>
      <protection/>
    </xf>
    <xf numFmtId="174" fontId="24" fillId="0" borderId="28" xfId="93" applyFont="1" applyBorder="1" applyAlignment="1">
      <alignment horizontal="center" vertical="center"/>
      <protection/>
    </xf>
    <xf numFmtId="174" fontId="24" fillId="0" borderId="28" xfId="93" applyFont="1" applyBorder="1" applyAlignment="1">
      <alignment horizontal="center" vertical="center" wrapText="1"/>
      <protection/>
    </xf>
    <xf numFmtId="174" fontId="0" fillId="0" borderId="30" xfId="93" applyFont="1" applyBorder="1" applyAlignment="1">
      <alignment/>
      <protection/>
    </xf>
    <xf numFmtId="174" fontId="0" fillId="0" borderId="31" xfId="93" applyFont="1" applyBorder="1" applyAlignment="1">
      <alignment/>
      <protection/>
    </xf>
    <xf numFmtId="174" fontId="24" fillId="0" borderId="30" xfId="93" applyFont="1" applyBorder="1" applyAlignment="1">
      <alignment horizontal="center" vertical="center"/>
      <protection/>
    </xf>
    <xf numFmtId="174" fontId="24" fillId="0" borderId="30" xfId="93" applyFont="1" applyBorder="1" applyAlignment="1">
      <alignment horizontal="center" vertical="center" wrapText="1"/>
      <protection/>
    </xf>
    <xf numFmtId="174" fontId="0" fillId="46" borderId="26" xfId="93" applyFont="1" applyFill="1" applyBorder="1" applyAlignment="1">
      <alignment vertical="center"/>
      <protection/>
    </xf>
    <xf numFmtId="176" fontId="0" fillId="12" borderId="26" xfId="93" applyNumberFormat="1" applyFont="1" applyFill="1" applyBorder="1" applyAlignment="1">
      <alignment horizontal="center" vertical="center"/>
      <protection/>
    </xf>
    <xf numFmtId="174" fontId="0" fillId="46" borderId="28" xfId="93" applyFont="1" applyFill="1" applyBorder="1" applyAlignment="1">
      <alignment vertical="center"/>
      <protection/>
    </xf>
    <xf numFmtId="173" fontId="0" fillId="55" borderId="28" xfId="93" applyNumberFormat="1" applyFont="1" applyFill="1" applyBorder="1" applyAlignment="1">
      <alignment horizontal="center" vertical="center"/>
      <protection/>
    </xf>
    <xf numFmtId="176" fontId="0" fillId="12" borderId="28" xfId="93" applyNumberFormat="1" applyFont="1" applyFill="1" applyBorder="1" applyAlignment="1">
      <alignment horizontal="center" vertical="center"/>
      <protection/>
    </xf>
    <xf numFmtId="174" fontId="0" fillId="46" borderId="20" xfId="93" applyFont="1" applyFill="1" applyBorder="1" applyAlignment="1">
      <alignment vertical="center"/>
      <protection/>
    </xf>
    <xf numFmtId="173" fontId="0" fillId="55" borderId="20" xfId="93" applyNumberFormat="1" applyFont="1" applyFill="1" applyBorder="1" applyAlignment="1">
      <alignment horizontal="center" vertical="center"/>
      <protection/>
    </xf>
    <xf numFmtId="176" fontId="0" fillId="12" borderId="20" xfId="93" applyNumberFormat="1" applyFont="1" applyFill="1" applyBorder="1" applyAlignment="1">
      <alignment horizontal="center" vertical="center"/>
      <protection/>
    </xf>
    <xf numFmtId="174" fontId="0" fillId="12" borderId="28" xfId="93" applyNumberFormat="1" applyFont="1" applyFill="1" applyBorder="1" applyAlignment="1">
      <alignment horizontal="center" vertical="center"/>
      <protection/>
    </xf>
    <xf numFmtId="174" fontId="0" fillId="12" borderId="20" xfId="93" applyNumberFormat="1" applyFont="1" applyFill="1" applyBorder="1" applyAlignment="1">
      <alignment horizontal="center" vertical="center"/>
      <protection/>
    </xf>
    <xf numFmtId="173" fontId="0" fillId="12" borderId="28" xfId="93" applyNumberFormat="1" applyFont="1" applyFill="1" applyBorder="1" applyAlignment="1">
      <alignment horizontal="center" vertical="center"/>
      <protection/>
    </xf>
    <xf numFmtId="177" fontId="0" fillId="12" borderId="28" xfId="93" applyNumberFormat="1" applyFont="1" applyFill="1" applyBorder="1" applyAlignment="1">
      <alignment horizontal="center" vertical="center"/>
      <protection/>
    </xf>
    <xf numFmtId="177" fontId="0" fillId="12" borderId="20" xfId="93" applyNumberFormat="1" applyFont="1" applyFill="1" applyBorder="1" applyAlignment="1">
      <alignment horizontal="center" vertical="center"/>
      <protection/>
    </xf>
    <xf numFmtId="1" fontId="0" fillId="12" borderId="28" xfId="93" applyNumberFormat="1" applyFont="1" applyFill="1" applyBorder="1" applyAlignment="1">
      <alignment horizontal="center" vertical="center"/>
      <protection/>
    </xf>
    <xf numFmtId="173" fontId="0" fillId="12" borderId="20" xfId="93" applyNumberFormat="1" applyFont="1" applyFill="1" applyBorder="1" applyAlignment="1">
      <alignment horizontal="center" vertical="center"/>
      <protection/>
    </xf>
    <xf numFmtId="173" fontId="0" fillId="12" borderId="21" xfId="93" applyNumberFormat="1" applyFont="1" applyFill="1" applyBorder="1" applyAlignment="1">
      <alignment horizontal="center" vertical="center"/>
      <protection/>
    </xf>
    <xf numFmtId="172" fontId="0" fillId="12" borderId="28" xfId="93" applyNumberFormat="1" applyFont="1" applyFill="1" applyBorder="1" applyAlignment="1">
      <alignment horizontal="center" vertical="center"/>
      <protection/>
    </xf>
    <xf numFmtId="174" fontId="32" fillId="0" borderId="0" xfId="93" applyFont="1">
      <alignment/>
      <protection/>
    </xf>
    <xf numFmtId="174" fontId="31" fillId="0" borderId="0" xfId="93" applyFont="1">
      <alignment/>
      <protection/>
    </xf>
    <xf numFmtId="174" fontId="0" fillId="46" borderId="32" xfId="93" applyFont="1" applyFill="1" applyBorder="1" applyAlignment="1">
      <alignment vertical="center"/>
      <protection/>
    </xf>
    <xf numFmtId="174" fontId="0" fillId="0" borderId="0" xfId="93" applyNumberFormat="1" applyFont="1" applyFill="1" applyBorder="1" applyAlignment="1" applyProtection="1">
      <alignment vertical="center"/>
      <protection/>
    </xf>
    <xf numFmtId="170" fontId="0" fillId="0" borderId="25" xfId="93" applyNumberFormat="1" applyFont="1" applyFill="1" applyBorder="1" applyAlignment="1" applyProtection="1">
      <alignment vertical="center"/>
      <protection/>
    </xf>
    <xf numFmtId="171" fontId="0" fillId="0" borderId="21" xfId="93" applyNumberFormat="1" applyFont="1" applyFill="1" applyBorder="1" applyAlignment="1" applyProtection="1">
      <alignment horizontal="center" vertical="center"/>
      <protection/>
    </xf>
    <xf numFmtId="171" fontId="0" fillId="10" borderId="21" xfId="93" applyNumberFormat="1" applyFont="1" applyFill="1" applyBorder="1" applyAlignment="1" applyProtection="1">
      <alignment horizontal="center" vertical="center"/>
      <protection locked="0"/>
    </xf>
    <xf numFmtId="171" fontId="0" fillId="46" borderId="22" xfId="93" applyNumberFormat="1" applyFont="1" applyFill="1" applyBorder="1" applyAlignment="1" applyProtection="1">
      <alignment horizontal="center" vertical="center"/>
      <protection locked="0"/>
    </xf>
    <xf numFmtId="174" fontId="0" fillId="0" borderId="33" xfId="93" applyFont="1" applyBorder="1" applyAlignment="1" applyProtection="1">
      <alignment vertical="center"/>
      <protection/>
    </xf>
    <xf numFmtId="171" fontId="0" fillId="46" borderId="32" xfId="93" applyNumberFormat="1" applyFont="1" applyFill="1" applyBorder="1" applyAlignment="1" applyProtection="1">
      <alignment vertical="center"/>
      <protection locked="0"/>
    </xf>
    <xf numFmtId="171" fontId="0" fillId="10" borderId="34" xfId="93" applyNumberFormat="1" applyFont="1" applyFill="1" applyBorder="1" applyAlignment="1" applyProtection="1">
      <alignment horizontal="center" vertical="center"/>
      <protection locked="0"/>
    </xf>
    <xf numFmtId="171" fontId="0" fillId="46" borderId="26" xfId="93" applyNumberFormat="1" applyFont="1" applyFill="1" applyBorder="1" applyAlignment="1" applyProtection="1">
      <alignment vertical="center"/>
      <protection locked="0"/>
    </xf>
    <xf numFmtId="173" fontId="0" fillId="0" borderId="32" xfId="93" applyNumberFormat="1" applyFont="1" applyFill="1" applyBorder="1" applyAlignment="1" applyProtection="1">
      <alignment vertical="center"/>
      <protection/>
    </xf>
    <xf numFmtId="173" fontId="0" fillId="0" borderId="21" xfId="93" applyNumberFormat="1" applyFont="1" applyFill="1" applyBorder="1" applyAlignment="1" applyProtection="1">
      <alignment vertical="center"/>
      <protection/>
    </xf>
    <xf numFmtId="181" fontId="0" fillId="46" borderId="22" xfId="93" applyNumberFormat="1" applyFont="1" applyFill="1" applyBorder="1" applyAlignment="1" applyProtection="1">
      <alignment horizontal="center" vertical="center"/>
      <protection locked="0"/>
    </xf>
    <xf numFmtId="174" fontId="0" fillId="0" borderId="35" xfId="93" applyFont="1" applyBorder="1" applyAlignment="1" applyProtection="1">
      <alignment vertical="center"/>
      <protection/>
    </xf>
    <xf numFmtId="171" fontId="0" fillId="46" borderId="36" xfId="93" applyNumberFormat="1" applyFont="1" applyFill="1" applyBorder="1" applyAlignment="1" applyProtection="1">
      <alignment vertical="center"/>
      <protection locked="0"/>
    </xf>
    <xf numFmtId="171" fontId="0" fillId="0" borderId="36" xfId="93" applyNumberFormat="1" applyFont="1" applyFill="1" applyBorder="1" applyAlignment="1" applyProtection="1">
      <alignment horizontal="center" vertical="center"/>
      <protection/>
    </xf>
    <xf numFmtId="174" fontId="0" fillId="46" borderId="24" xfId="93" applyFont="1" applyFill="1" applyBorder="1" applyAlignment="1" applyProtection="1">
      <alignment vertical="center"/>
      <protection locked="0"/>
    </xf>
    <xf numFmtId="174" fontId="0" fillId="46" borderId="24" xfId="93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74" fontId="0" fillId="12" borderId="28" xfId="93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10" borderId="37" xfId="0" applyFill="1" applyBorder="1" applyAlignment="1" applyProtection="1">
      <alignment/>
      <protection/>
    </xf>
    <xf numFmtId="49" fontId="0" fillId="46" borderId="37" xfId="0" applyNumberFormat="1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74" fontId="24" fillId="0" borderId="38" xfId="93" applyFont="1" applyFill="1" applyBorder="1" applyAlignment="1" applyProtection="1">
      <alignment vertical="center"/>
      <protection/>
    </xf>
    <xf numFmtId="0" fontId="24" fillId="0" borderId="38" xfId="93" applyNumberFormat="1" applyFont="1" applyFill="1" applyBorder="1" applyAlignment="1" applyProtection="1">
      <alignment horizontal="center" vertical="center"/>
      <protection/>
    </xf>
    <xf numFmtId="1" fontId="24" fillId="0" borderId="38" xfId="93" applyNumberFormat="1" applyFont="1" applyFill="1" applyBorder="1" applyAlignment="1" applyProtection="1">
      <alignment horizontal="center"/>
      <protection/>
    </xf>
    <xf numFmtId="173" fontId="24" fillId="0" borderId="38" xfId="93" applyNumberFormat="1" applyFont="1" applyFill="1" applyBorder="1" applyAlignment="1" applyProtection="1">
      <alignment vertical="center"/>
      <protection/>
    </xf>
    <xf numFmtId="174" fontId="24" fillId="0" borderId="38" xfId="93" applyNumberFormat="1" applyFont="1" applyFill="1" applyBorder="1" applyAlignment="1" applyProtection="1">
      <alignment vertical="center"/>
      <protection/>
    </xf>
    <xf numFmtId="2" fontId="41" fillId="0" borderId="0" xfId="93" applyNumberFormat="1" applyFont="1" applyAlignment="1">
      <alignment horizontal="center" vertical="center"/>
      <protection/>
    </xf>
    <xf numFmtId="2" fontId="41" fillId="55" borderId="0" xfId="93" applyNumberFormat="1" applyFont="1" applyFill="1" applyBorder="1" applyAlignment="1">
      <alignment horizontal="center" vertical="center"/>
      <protection/>
    </xf>
    <xf numFmtId="174" fontId="0" fillId="0" borderId="0" xfId="93" applyFont="1" applyFill="1" applyAlignment="1" applyProtection="1">
      <alignment vertical="center"/>
      <protection hidden="1"/>
    </xf>
    <xf numFmtId="172" fontId="0" fillId="46" borderId="19" xfId="93" applyNumberFormat="1" applyFont="1" applyFill="1" applyBorder="1" applyAlignment="1" applyProtection="1">
      <alignment vertical="center"/>
      <protection locked="0"/>
    </xf>
    <xf numFmtId="176" fontId="0" fillId="46" borderId="19" xfId="93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46" borderId="39" xfId="0" applyNumberFormat="1" applyFont="1" applyFill="1" applyBorder="1" applyAlignment="1" applyProtection="1">
      <alignment horizontal="left"/>
      <protection locked="0"/>
    </xf>
    <xf numFmtId="0" fontId="0" fillId="46" borderId="39" xfId="0" applyNumberFormat="1" applyFont="1" applyFill="1" applyBorder="1" applyAlignment="1" applyProtection="1">
      <alignment horizontal="left"/>
      <protection/>
    </xf>
    <xf numFmtId="0" fontId="0" fillId="46" borderId="39" xfId="0" applyNumberFormat="1" applyFont="1" applyFill="1" applyBorder="1" applyAlignment="1" applyProtection="1">
      <alignment horizontal="left"/>
      <protection locked="0"/>
    </xf>
    <xf numFmtId="0" fontId="0" fillId="46" borderId="39" xfId="0" applyNumberFormat="1" applyFont="1" applyFill="1" applyBorder="1" applyAlignment="1" applyProtection="1">
      <alignment/>
      <protection/>
    </xf>
    <xf numFmtId="49" fontId="0" fillId="46" borderId="39" xfId="0" applyNumberFormat="1" applyFont="1" applyFill="1" applyBorder="1" applyAlignment="1" applyProtection="1">
      <alignment/>
      <protection locked="0"/>
    </xf>
    <xf numFmtId="49" fontId="0" fillId="46" borderId="3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2" fillId="46" borderId="39" xfId="82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93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190" fontId="0" fillId="46" borderId="20" xfId="93" applyNumberFormat="1" applyFont="1" applyFill="1" applyBorder="1" applyAlignment="1" applyProtection="1">
      <alignment vertical="center"/>
      <protection locked="0"/>
    </xf>
    <xf numFmtId="190" fontId="0" fillId="46" borderId="21" xfId="93" applyNumberFormat="1" applyFont="1" applyFill="1" applyBorder="1" applyAlignment="1" applyProtection="1">
      <alignment vertical="center"/>
      <protection locked="0"/>
    </xf>
    <xf numFmtId="190" fontId="0" fillId="46" borderId="32" xfId="93" applyNumberFormat="1" applyFont="1" applyFill="1" applyBorder="1" applyAlignment="1" applyProtection="1">
      <alignment vertical="center"/>
      <protection locked="0"/>
    </xf>
    <xf numFmtId="190" fontId="0" fillId="46" borderId="26" xfId="93" applyNumberFormat="1" applyFont="1" applyFill="1" applyBorder="1" applyAlignment="1" applyProtection="1">
      <alignment vertical="center"/>
      <protection locked="0"/>
    </xf>
    <xf numFmtId="190" fontId="0" fillId="46" borderId="36" xfId="93" applyNumberFormat="1" applyFont="1" applyFill="1" applyBorder="1" applyAlignment="1" applyProtection="1">
      <alignment vertical="center"/>
      <protection locked="0"/>
    </xf>
    <xf numFmtId="190" fontId="0" fillId="46" borderId="19" xfId="93" applyNumberFormat="1" applyFont="1" applyFill="1" applyBorder="1" applyAlignment="1" applyProtection="1">
      <alignment vertical="center"/>
      <protection locked="0"/>
    </xf>
    <xf numFmtId="190" fontId="0" fillId="46" borderId="33" xfId="93" applyNumberFormat="1" applyFont="1" applyFill="1" applyBorder="1" applyAlignment="1" applyProtection="1">
      <alignment vertical="center"/>
      <protection locked="0"/>
    </xf>
    <xf numFmtId="173" fontId="0" fillId="46" borderId="21" xfId="93" applyNumberFormat="1" applyFont="1" applyFill="1" applyBorder="1" applyAlignment="1" applyProtection="1">
      <alignment vertical="center"/>
      <protection locked="0"/>
    </xf>
    <xf numFmtId="173" fontId="0" fillId="46" borderId="36" xfId="93" applyNumberFormat="1" applyFont="1" applyFill="1" applyBorder="1" applyAlignment="1" applyProtection="1">
      <alignment vertical="center"/>
      <protection locked="0"/>
    </xf>
    <xf numFmtId="170" fontId="0" fillId="46" borderId="21" xfId="93" applyNumberFormat="1" applyFont="1" applyFill="1" applyBorder="1" applyAlignment="1" applyProtection="1">
      <alignment vertical="center"/>
      <protection locked="0"/>
    </xf>
    <xf numFmtId="170" fontId="0" fillId="46" borderId="26" xfId="93" applyNumberFormat="1" applyFont="1" applyFill="1" applyBorder="1" applyAlignment="1" applyProtection="1">
      <alignment/>
      <protection locked="0"/>
    </xf>
    <xf numFmtId="170" fontId="0" fillId="46" borderId="21" xfId="93" applyNumberFormat="1" applyFont="1" applyFill="1" applyBorder="1" applyAlignment="1" applyProtection="1">
      <alignment/>
      <protection locked="0"/>
    </xf>
    <xf numFmtId="170" fontId="0" fillId="46" borderId="32" xfId="93" applyNumberFormat="1" applyFont="1" applyFill="1" applyBorder="1" applyAlignment="1" applyProtection="1">
      <alignment vertical="center"/>
      <protection locked="0"/>
    </xf>
    <xf numFmtId="170" fontId="0" fillId="46" borderId="36" xfId="93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0" fontId="0" fillId="0" borderId="0" xfId="93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19" xfId="93" applyNumberFormat="1" applyFont="1" applyBorder="1" applyAlignment="1" applyProtection="1">
      <alignment horizontal="center" vertical="center"/>
      <protection/>
    </xf>
    <xf numFmtId="0" fontId="0" fillId="0" borderId="33" xfId="93" applyNumberFormat="1" applyFont="1" applyBorder="1" applyAlignment="1" applyProtection="1">
      <alignment horizontal="center" vertical="center"/>
      <protection/>
    </xf>
    <xf numFmtId="0" fontId="0" fillId="0" borderId="40" xfId="93" applyNumberFormat="1" applyFont="1" applyBorder="1" applyAlignment="1" applyProtection="1">
      <alignment horizontal="center" vertical="center"/>
      <protection/>
    </xf>
    <xf numFmtId="0" fontId="0" fillId="0" borderId="19" xfId="93" applyNumberFormat="1" applyFont="1" applyFill="1" applyBorder="1" applyAlignment="1" applyProtection="1">
      <alignment horizontal="center" vertical="center"/>
      <protection/>
    </xf>
    <xf numFmtId="173" fontId="0" fillId="55" borderId="26" xfId="93" applyNumberFormat="1" applyFont="1" applyFill="1" applyBorder="1" applyAlignment="1">
      <alignment horizontal="center" vertical="center"/>
      <protection/>
    </xf>
    <xf numFmtId="2" fontId="41" fillId="55" borderId="28" xfId="93" applyNumberFormat="1" applyFont="1" applyFill="1" applyBorder="1" applyAlignment="1">
      <alignment horizontal="center" vertical="center"/>
      <protection/>
    </xf>
    <xf numFmtId="174" fontId="24" fillId="0" borderId="26" xfId="93" applyFont="1" applyBorder="1" applyAlignment="1">
      <alignment horizontal="center"/>
      <protection/>
    </xf>
    <xf numFmtId="2" fontId="24" fillId="55" borderId="28" xfId="93" applyNumberFormat="1" applyFont="1" applyFill="1" applyBorder="1" applyAlignment="1">
      <alignment horizontal="center" vertical="center"/>
      <protection/>
    </xf>
    <xf numFmtId="2" fontId="0" fillId="0" borderId="26" xfId="93" applyNumberFormat="1" applyFont="1" applyBorder="1" applyAlignment="1">
      <alignment horizontal="center"/>
      <protection/>
    </xf>
    <xf numFmtId="2" fontId="0" fillId="0" borderId="28" xfId="93" applyNumberFormat="1" applyFont="1" applyBorder="1" applyAlignment="1">
      <alignment horizontal="center"/>
      <protection/>
    </xf>
    <xf numFmtId="2" fontId="0" fillId="0" borderId="28" xfId="93" applyNumberFormat="1" applyFont="1" applyFill="1" applyBorder="1" applyAlignment="1">
      <alignment horizontal="center"/>
      <protection/>
    </xf>
    <xf numFmtId="2" fontId="0" fillId="0" borderId="30" xfId="93" applyNumberFormat="1" applyFont="1" applyBorder="1" applyAlignment="1">
      <alignment horizontal="center"/>
      <protection/>
    </xf>
    <xf numFmtId="2" fontId="0" fillId="0" borderId="32" xfId="93" applyNumberFormat="1" applyFont="1" applyBorder="1" applyAlignment="1">
      <alignment horizontal="center"/>
      <protection/>
    </xf>
    <xf numFmtId="2" fontId="0" fillId="0" borderId="32" xfId="93" applyNumberFormat="1" applyFont="1" applyFill="1" applyBorder="1" applyAlignment="1">
      <alignment horizontal="center"/>
      <protection/>
    </xf>
    <xf numFmtId="174" fontId="0" fillId="46" borderId="30" xfId="93" applyFont="1" applyFill="1" applyBorder="1" applyAlignment="1">
      <alignment vertical="center"/>
      <protection/>
    </xf>
    <xf numFmtId="173" fontId="0" fillId="12" borderId="30" xfId="93" applyNumberFormat="1" applyFont="1" applyFill="1" applyBorder="1" applyAlignment="1">
      <alignment horizontal="center" vertical="center"/>
      <protection/>
    </xf>
    <xf numFmtId="173" fontId="0" fillId="55" borderId="30" xfId="93" applyNumberFormat="1" applyFont="1" applyFill="1" applyBorder="1" applyAlignment="1">
      <alignment horizontal="center" vertical="center"/>
      <protection/>
    </xf>
    <xf numFmtId="174" fontId="41" fillId="46" borderId="0" xfId="93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85" fontId="0" fillId="46" borderId="39" xfId="0" applyNumberFormat="1" applyFont="1" applyFill="1" applyBorder="1" applyAlignment="1" applyProtection="1">
      <alignment horizontal="left"/>
      <protection locked="0"/>
    </xf>
    <xf numFmtId="174" fontId="32" fillId="55" borderId="0" xfId="93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74" fontId="0" fillId="0" borderId="0" xfId="93" applyFont="1" applyAlignment="1" applyProtection="1">
      <alignment horizontal="left"/>
      <protection/>
    </xf>
    <xf numFmtId="174" fontId="0" fillId="0" borderId="0" xfId="93" applyFont="1" applyAlignment="1" applyProtection="1">
      <alignment/>
      <protection/>
    </xf>
    <xf numFmtId="1" fontId="49" fillId="0" borderId="0" xfId="93" applyNumberFormat="1" applyFont="1" applyFill="1" applyBorder="1" applyAlignment="1" applyProtection="1">
      <alignment horizontal="center" vertical="center"/>
      <protection/>
    </xf>
    <xf numFmtId="1" fontId="49" fillId="0" borderId="0" xfId="93" applyNumberFormat="1" applyFont="1" applyFill="1" applyBorder="1" applyAlignment="1" applyProtection="1">
      <alignment horizontal="right" vertical="center"/>
      <protection/>
    </xf>
    <xf numFmtId="1" fontId="0" fillId="0" borderId="0" xfId="93" applyNumberFormat="1" applyFont="1" applyFill="1" applyBorder="1" applyAlignment="1" applyProtection="1">
      <alignment horizontal="right" vertical="center"/>
      <protection/>
    </xf>
    <xf numFmtId="1" fontId="0" fillId="0" borderId="0" xfId="93" applyNumberFormat="1" applyFont="1" applyFill="1" applyBorder="1" applyAlignment="1" applyProtection="1">
      <alignment vertical="center"/>
      <protection/>
    </xf>
    <xf numFmtId="1" fontId="49" fillId="0" borderId="0" xfId="93" applyNumberFormat="1" applyFont="1" applyFill="1" applyBorder="1" applyAlignment="1" applyProtection="1">
      <alignment vertical="center"/>
      <protection/>
    </xf>
    <xf numFmtId="1" fontId="0" fillId="0" borderId="0" xfId="93" applyNumberFormat="1" applyFont="1" applyFill="1" applyBorder="1" applyAlignment="1" applyProtection="1">
      <alignment horizontal="center" vertical="center"/>
      <protection/>
    </xf>
    <xf numFmtId="1" fontId="45" fillId="0" borderId="0" xfId="93" applyNumberFormat="1" applyFont="1" applyFill="1" applyBorder="1" applyAlignment="1" applyProtection="1">
      <alignment horizontal="center" vertical="center"/>
      <protection/>
    </xf>
    <xf numFmtId="174" fontId="49" fillId="0" borderId="0" xfId="93" applyFont="1">
      <alignment/>
      <protection/>
    </xf>
    <xf numFmtId="191" fontId="49" fillId="0" borderId="0" xfId="93" applyNumberFormat="1" applyFont="1">
      <alignment/>
      <protection/>
    </xf>
    <xf numFmtId="174" fontId="49" fillId="0" borderId="0" xfId="93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184" fontId="0" fillId="10" borderId="39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173" fontId="0" fillId="0" borderId="20" xfId="93" applyNumberFormat="1" applyFont="1" applyBorder="1" applyAlignment="1" applyProtection="1">
      <alignment vertical="center"/>
      <protection/>
    </xf>
    <xf numFmtId="190" fontId="0" fillId="0" borderId="20" xfId="93" applyNumberFormat="1" applyFont="1" applyBorder="1" applyAlignment="1" applyProtection="1">
      <alignment vertical="center"/>
      <protection/>
    </xf>
    <xf numFmtId="174" fontId="0" fillId="0" borderId="0" xfId="93" applyFont="1" applyAlignment="1" applyProtection="1">
      <alignment vertical="center"/>
      <protection/>
    </xf>
    <xf numFmtId="1" fontId="0" fillId="0" borderId="0" xfId="93" applyNumberFormat="1" applyFont="1" applyAlignment="1" applyProtection="1">
      <alignment vertical="center"/>
      <protection/>
    </xf>
    <xf numFmtId="174" fontId="0" fillId="0" borderId="0" xfId="93" applyNumberFormat="1" applyFont="1" applyAlignment="1" applyProtection="1">
      <alignment vertical="center"/>
      <protection/>
    </xf>
    <xf numFmtId="174" fontId="31" fillId="0" borderId="0" xfId="93" applyFont="1" applyAlignment="1" applyProtection="1">
      <alignment vertical="center"/>
      <protection/>
    </xf>
    <xf numFmtId="174" fontId="44" fillId="0" borderId="0" xfId="93" applyFont="1" applyAlignment="1" applyProtection="1">
      <alignment vertical="center"/>
      <protection/>
    </xf>
    <xf numFmtId="170" fontId="22" fillId="0" borderId="0" xfId="93" applyNumberFormat="1" applyFont="1" applyBorder="1" applyAlignment="1" applyProtection="1">
      <alignment vertical="center"/>
      <protection/>
    </xf>
    <xf numFmtId="174" fontId="0" fillId="0" borderId="0" xfId="93" applyFont="1" applyBorder="1" applyAlignment="1" applyProtection="1">
      <alignment vertical="center"/>
      <protection/>
    </xf>
    <xf numFmtId="1" fontId="25" fillId="0" borderId="0" xfId="93" applyNumberFormat="1" applyFont="1" applyBorder="1" applyAlignment="1" applyProtection="1">
      <alignment horizontal="right" vertical="center"/>
      <protection/>
    </xf>
    <xf numFmtId="174" fontId="32" fillId="55" borderId="0" xfId="93" applyFont="1" applyFill="1" applyAlignment="1" applyProtection="1">
      <alignment vertical="center"/>
      <protection/>
    </xf>
    <xf numFmtId="174" fontId="0" fillId="0" borderId="0" xfId="93" applyFont="1" applyProtection="1">
      <alignment/>
      <protection/>
    </xf>
    <xf numFmtId="1" fontId="1" fillId="0" borderId="0" xfId="93" applyNumberFormat="1" applyFont="1" applyBorder="1" applyAlignment="1" applyProtection="1">
      <alignment/>
      <protection/>
    </xf>
    <xf numFmtId="174" fontId="31" fillId="0" borderId="0" xfId="93" applyFont="1" applyBorder="1" applyAlignment="1" applyProtection="1">
      <alignment vertical="center"/>
      <protection/>
    </xf>
    <xf numFmtId="170" fontId="22" fillId="0" borderId="23" xfId="93" applyNumberFormat="1" applyFont="1" applyBorder="1" applyAlignment="1" applyProtection="1">
      <alignment vertical="center"/>
      <protection/>
    </xf>
    <xf numFmtId="174" fontId="0" fillId="0" borderId="23" xfId="93" applyFont="1" applyBorder="1" applyAlignment="1" applyProtection="1">
      <alignment vertical="center"/>
      <protection/>
    </xf>
    <xf numFmtId="174" fontId="22" fillId="0" borderId="23" xfId="93" applyFont="1" applyBorder="1" applyAlignment="1" applyProtection="1">
      <alignment vertical="center"/>
      <protection/>
    </xf>
    <xf numFmtId="174" fontId="27" fillId="0" borderId="23" xfId="93" applyFont="1" applyBorder="1" applyAlignment="1" applyProtection="1">
      <alignment vertical="center"/>
      <protection/>
    </xf>
    <xf numFmtId="174" fontId="31" fillId="0" borderId="0" xfId="93" applyFont="1" applyBorder="1" applyAlignment="1" applyProtection="1">
      <alignment horizontal="centerContinuous" vertical="center"/>
      <protection/>
    </xf>
    <xf numFmtId="174" fontId="22" fillId="0" borderId="0" xfId="93" applyFont="1" applyBorder="1" applyAlignment="1" applyProtection="1">
      <alignment vertical="center"/>
      <protection/>
    </xf>
    <xf numFmtId="174" fontId="27" fillId="0" borderId="0" xfId="93" applyFont="1" applyBorder="1" applyAlignment="1" applyProtection="1">
      <alignment vertical="center"/>
      <protection/>
    </xf>
    <xf numFmtId="1" fontId="25" fillId="0" borderId="0" xfId="93" applyNumberFormat="1" applyFont="1" applyBorder="1" applyAlignment="1" applyProtection="1">
      <alignment horizontal="centerContinuous" vertical="center"/>
      <protection/>
    </xf>
    <xf numFmtId="174" fontId="0" fillId="0" borderId="0" xfId="93" applyFont="1" applyAlignment="1" applyProtection="1">
      <alignment horizontal="right" vertical="center" indent="1"/>
      <protection/>
    </xf>
    <xf numFmtId="0" fontId="49" fillId="55" borderId="0" xfId="93" applyNumberFormat="1" applyFont="1" applyFill="1" applyAlignment="1" applyProtection="1">
      <alignment vertical="center"/>
      <protection/>
    </xf>
    <xf numFmtId="174" fontId="49" fillId="55" borderId="0" xfId="93" applyFont="1" applyFill="1" applyAlignment="1" applyProtection="1">
      <alignment vertical="center"/>
      <protection/>
    </xf>
    <xf numFmtId="174" fontId="31" fillId="0" borderId="0" xfId="93" applyFont="1" applyAlignment="1" applyProtection="1">
      <alignment horizontal="right" vertical="center"/>
      <protection/>
    </xf>
    <xf numFmtId="174" fontId="0" fillId="0" borderId="0" xfId="93" applyFont="1" applyAlignment="1" applyProtection="1">
      <alignment horizontal="left" vertical="center"/>
      <protection/>
    </xf>
    <xf numFmtId="1" fontId="49" fillId="0" borderId="0" xfId="93" applyNumberFormat="1" applyFont="1" applyAlignment="1" applyProtection="1">
      <alignment horizontal="center" vertical="center"/>
      <protection/>
    </xf>
    <xf numFmtId="174" fontId="29" fillId="0" borderId="0" xfId="93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0" fontId="25" fillId="0" borderId="0" xfId="93" applyNumberFormat="1" applyFont="1" applyAlignment="1" applyProtection="1">
      <alignment horizontal="left" vertical="center"/>
      <protection/>
    </xf>
    <xf numFmtId="174" fontId="25" fillId="0" borderId="0" xfId="93" applyFont="1" applyAlignment="1" applyProtection="1">
      <alignment vertical="center"/>
      <protection/>
    </xf>
    <xf numFmtId="174" fontId="21" fillId="0" borderId="0" xfId="93" applyFont="1" applyAlignment="1" applyProtection="1">
      <alignment vertical="center"/>
      <protection/>
    </xf>
    <xf numFmtId="174" fontId="32" fillId="0" borderId="0" xfId="93" applyFont="1" applyBorder="1" applyAlignment="1" applyProtection="1">
      <alignment vertical="center"/>
      <protection/>
    </xf>
    <xf numFmtId="174" fontId="49" fillId="0" borderId="0" xfId="93" applyFont="1" applyAlignment="1" applyProtection="1">
      <alignment vertical="center"/>
      <protection/>
    </xf>
    <xf numFmtId="1" fontId="49" fillId="0" borderId="0" xfId="93" applyNumberFormat="1" applyFont="1" applyAlignment="1" applyProtection="1">
      <alignment vertical="center"/>
      <protection/>
    </xf>
    <xf numFmtId="1" fontId="32" fillId="0" borderId="0" xfId="93" applyNumberFormat="1" applyFont="1" applyAlignment="1" applyProtection="1">
      <alignment vertical="center"/>
      <protection/>
    </xf>
    <xf numFmtId="174" fontId="32" fillId="0" borderId="0" xfId="93" applyNumberFormat="1" applyFont="1" applyAlignment="1" applyProtection="1">
      <alignment vertical="center"/>
      <protection/>
    </xf>
    <xf numFmtId="1" fontId="31" fillId="0" borderId="0" xfId="93" applyNumberFormat="1" applyFont="1" applyAlignment="1" applyProtection="1">
      <alignment vertical="center"/>
      <protection/>
    </xf>
    <xf numFmtId="174" fontId="24" fillId="0" borderId="0" xfId="93" applyFont="1" applyAlignment="1" applyProtection="1">
      <alignment vertical="center"/>
      <protection/>
    </xf>
    <xf numFmtId="174" fontId="32" fillId="0" borderId="0" xfId="93" applyFont="1" applyAlignment="1" applyProtection="1">
      <alignment vertical="center"/>
      <protection/>
    </xf>
    <xf numFmtId="1" fontId="50" fillId="0" borderId="0" xfId="93" applyNumberFormat="1" applyFont="1" applyAlignment="1" applyProtection="1">
      <alignment vertical="center"/>
      <protection/>
    </xf>
    <xf numFmtId="174" fontId="32" fillId="0" borderId="0" xfId="93" applyFont="1" applyProtection="1">
      <alignment/>
      <protection/>
    </xf>
    <xf numFmtId="1" fontId="0" fillId="0" borderId="0" xfId="93" applyNumberFormat="1" applyFont="1" applyBorder="1" applyAlignment="1" applyProtection="1">
      <alignment horizontal="right" vertical="center"/>
      <protection/>
    </xf>
    <xf numFmtId="174" fontId="32" fillId="0" borderId="0" xfId="93" applyFont="1" applyAlignment="1" applyProtection="1">
      <alignment horizontal="right" vertical="center"/>
      <protection/>
    </xf>
    <xf numFmtId="174" fontId="32" fillId="0" borderId="0" xfId="93" applyFont="1" applyAlignment="1" applyProtection="1">
      <alignment horizontal="center" vertical="center"/>
      <protection/>
    </xf>
    <xf numFmtId="1" fontId="0" fillId="0" borderId="0" xfId="93" applyNumberFormat="1" applyFont="1" applyBorder="1" applyAlignment="1" applyProtection="1">
      <alignment vertical="center"/>
      <protection/>
    </xf>
    <xf numFmtId="1" fontId="32" fillId="0" borderId="0" xfId="93" applyNumberFormat="1" applyFont="1" applyAlignment="1" applyProtection="1">
      <alignment horizontal="right" vertical="center"/>
      <protection/>
    </xf>
    <xf numFmtId="174" fontId="32" fillId="0" borderId="0" xfId="93" applyFont="1" applyBorder="1" applyAlignment="1" applyProtection="1">
      <alignment horizontal="center" vertical="center"/>
      <protection/>
    </xf>
    <xf numFmtId="174" fontId="0" fillId="0" borderId="0" xfId="93" applyFont="1" applyFill="1" applyBorder="1" applyAlignment="1" applyProtection="1">
      <alignment vertical="center"/>
      <protection/>
    </xf>
    <xf numFmtId="170" fontId="24" fillId="0" borderId="24" xfId="93" applyNumberFormat="1" applyFont="1" applyBorder="1" applyAlignment="1" applyProtection="1">
      <alignment horizontal="left" vertical="center"/>
      <protection/>
    </xf>
    <xf numFmtId="174" fontId="0" fillId="0" borderId="24" xfId="93" applyFont="1" applyBorder="1" applyAlignment="1" applyProtection="1">
      <alignment vertical="center"/>
      <protection/>
    </xf>
    <xf numFmtId="174" fontId="51" fillId="0" borderId="0" xfId="93" applyFont="1" applyFill="1" applyBorder="1" applyAlignment="1" applyProtection="1">
      <alignment vertical="center"/>
      <protection/>
    </xf>
    <xf numFmtId="174" fontId="49" fillId="0" borderId="0" xfId="93" applyFont="1" applyFill="1" applyBorder="1" applyAlignment="1" applyProtection="1">
      <alignment vertical="center"/>
      <protection/>
    </xf>
    <xf numFmtId="1" fontId="49" fillId="55" borderId="0" xfId="93" applyNumberFormat="1" applyFont="1" applyFill="1" applyBorder="1" applyAlignment="1" applyProtection="1">
      <alignment horizontal="right" vertical="center"/>
      <protection/>
    </xf>
    <xf numFmtId="1" fontId="49" fillId="55" borderId="0" xfId="93" applyNumberFormat="1" applyFont="1" applyFill="1" applyBorder="1" applyAlignment="1" applyProtection="1">
      <alignment vertical="center"/>
      <protection/>
    </xf>
    <xf numFmtId="174" fontId="49" fillId="0" borderId="0" xfId="93" applyFont="1" applyFill="1" applyBorder="1" applyAlignment="1" applyProtection="1">
      <alignment horizontal="center"/>
      <protection/>
    </xf>
    <xf numFmtId="174" fontId="0" fillId="0" borderId="0" xfId="93" applyFont="1" applyFill="1" applyBorder="1" applyAlignment="1" applyProtection="1">
      <alignment horizontal="center"/>
      <protection/>
    </xf>
    <xf numFmtId="1" fontId="0" fillId="0" borderId="0" xfId="93" applyNumberFormat="1" applyFont="1" applyFill="1" applyBorder="1" applyAlignment="1" applyProtection="1">
      <alignment horizontal="center"/>
      <protection/>
    </xf>
    <xf numFmtId="174" fontId="0" fillId="0" borderId="25" xfId="93" applyFont="1" applyFill="1" applyBorder="1" applyAlignment="1" applyProtection="1">
      <alignment vertical="center"/>
      <protection/>
    </xf>
    <xf numFmtId="174" fontId="24" fillId="0" borderId="27" xfId="93" applyFont="1" applyBorder="1" applyAlignment="1" applyProtection="1">
      <alignment vertical="center"/>
      <protection/>
    </xf>
    <xf numFmtId="174" fontId="24" fillId="0" borderId="41" xfId="93" applyFont="1" applyBorder="1" applyAlignment="1" applyProtection="1">
      <alignment vertical="center"/>
      <protection/>
    </xf>
    <xf numFmtId="174" fontId="24" fillId="0" borderId="42" xfId="93" applyFont="1" applyBorder="1" applyAlignment="1" applyProtection="1">
      <alignment vertical="center"/>
      <protection/>
    </xf>
    <xf numFmtId="174" fontId="24" fillId="0" borderId="0" xfId="93" applyFont="1" applyBorder="1" applyAlignment="1" applyProtection="1">
      <alignment vertical="center"/>
      <protection/>
    </xf>
    <xf numFmtId="170" fontId="24" fillId="0" borderId="26" xfId="93" applyNumberFormat="1" applyFont="1" applyBorder="1" applyAlignment="1" applyProtection="1">
      <alignment horizontal="left" vertical="center"/>
      <protection/>
    </xf>
    <xf numFmtId="170" fontId="24" fillId="0" borderId="27" xfId="93" applyNumberFormat="1" applyFont="1" applyBorder="1" applyAlignment="1" applyProtection="1">
      <alignment horizontal="centerContinuous" vertical="center"/>
      <protection/>
    </xf>
    <xf numFmtId="174" fontId="28" fillId="0" borderId="42" xfId="93" applyFont="1" applyBorder="1" applyAlignment="1" applyProtection="1">
      <alignment horizontal="centerContinuous" vertical="center"/>
      <protection/>
    </xf>
    <xf numFmtId="174" fontId="0" fillId="0" borderId="42" xfId="93" applyFont="1" applyBorder="1" applyAlignment="1" applyProtection="1">
      <alignment horizontal="centerContinuous" vertical="center"/>
      <protection/>
    </xf>
    <xf numFmtId="174" fontId="33" fillId="0" borderId="0" xfId="93" applyFont="1" applyProtection="1">
      <alignment/>
      <protection/>
    </xf>
    <xf numFmtId="174" fontId="0" fillId="0" borderId="0" xfId="93" applyFont="1" applyAlignment="1" applyProtection="1">
      <alignment horizontal="center"/>
      <protection/>
    </xf>
    <xf numFmtId="170" fontId="24" fillId="0" borderId="25" xfId="93" applyNumberFormat="1" applyFont="1" applyFill="1" applyBorder="1" applyAlignment="1" applyProtection="1">
      <alignment horizontal="left" vertical="center"/>
      <protection/>
    </xf>
    <xf numFmtId="174" fontId="0" fillId="0" borderId="29" xfId="93" applyFont="1" applyBorder="1" applyAlignment="1" applyProtection="1">
      <alignment vertical="center"/>
      <protection/>
    </xf>
    <xf numFmtId="170" fontId="24" fillId="0" borderId="0" xfId="93" applyNumberFormat="1" applyFont="1" applyBorder="1" applyAlignment="1" applyProtection="1">
      <alignment horizontal="left" vertical="center"/>
      <protection/>
    </xf>
    <xf numFmtId="174" fontId="24" fillId="0" borderId="25" xfId="93" applyFont="1" applyBorder="1" applyAlignment="1" applyProtection="1">
      <alignment vertical="center"/>
      <protection/>
    </xf>
    <xf numFmtId="174" fontId="24" fillId="0" borderId="29" xfId="93" applyFont="1" applyBorder="1" applyAlignment="1" applyProtection="1">
      <alignment horizontal="centerContinuous" vertical="center"/>
      <protection/>
    </xf>
    <xf numFmtId="170" fontId="24" fillId="0" borderId="28" xfId="93" applyNumberFormat="1" applyFont="1" applyBorder="1" applyAlignment="1" applyProtection="1">
      <alignment horizontal="centerContinuous" vertical="center"/>
      <protection/>
    </xf>
    <xf numFmtId="170" fontId="24" fillId="0" borderId="28" xfId="93" applyNumberFormat="1" applyFont="1" applyBorder="1" applyAlignment="1" applyProtection="1">
      <alignment horizontal="center" vertical="center"/>
      <protection/>
    </xf>
    <xf numFmtId="170" fontId="33" fillId="0" borderId="31" xfId="93" applyNumberFormat="1" applyFont="1" applyBorder="1" applyAlignment="1" applyProtection="1">
      <alignment horizontal="centerContinuous" vertical="center"/>
      <protection/>
    </xf>
    <xf numFmtId="174" fontId="40" fillId="0" borderId="43" xfId="93" applyFont="1" applyBorder="1" applyAlignment="1" applyProtection="1">
      <alignment horizontal="centerContinuous" vertical="center"/>
      <protection/>
    </xf>
    <xf numFmtId="170" fontId="24" fillId="0" borderId="31" xfId="93" applyNumberFormat="1" applyFont="1" applyBorder="1" applyAlignment="1" applyProtection="1">
      <alignment horizontal="centerContinuous" vertical="center"/>
      <protection/>
    </xf>
    <xf numFmtId="174" fontId="0" fillId="0" borderId="43" xfId="93" applyFont="1" applyBorder="1" applyAlignment="1" applyProtection="1">
      <alignment horizontal="centerContinuous" vertical="center"/>
      <protection/>
    </xf>
    <xf numFmtId="174" fontId="0" fillId="0" borderId="31" xfId="93" applyFont="1" applyBorder="1" applyAlignment="1" applyProtection="1">
      <alignment vertical="center"/>
      <protection/>
    </xf>
    <xf numFmtId="174" fontId="0" fillId="0" borderId="43" xfId="93" applyFont="1" applyBorder="1" applyAlignment="1" applyProtection="1">
      <alignment vertical="center"/>
      <protection/>
    </xf>
    <xf numFmtId="174" fontId="0" fillId="0" borderId="0" xfId="93" applyFont="1" applyFill="1" applyBorder="1" applyAlignment="1" applyProtection="1">
      <alignment horizontal="center" vertical="center"/>
      <protection/>
    </xf>
    <xf numFmtId="174" fontId="24" fillId="0" borderId="0" xfId="93" applyFont="1" applyFill="1" applyBorder="1" applyAlignment="1" applyProtection="1">
      <alignment vertical="center"/>
      <protection/>
    </xf>
    <xf numFmtId="174" fontId="32" fillId="0" borderId="0" xfId="93" applyFont="1" applyAlignment="1" applyProtection="1">
      <alignment horizontal="left"/>
      <protection/>
    </xf>
    <xf numFmtId="174" fontId="24" fillId="0" borderId="29" xfId="93" applyFont="1" applyBorder="1" applyAlignment="1" applyProtection="1">
      <alignment vertical="center"/>
      <protection/>
    </xf>
    <xf numFmtId="170" fontId="24" fillId="0" borderId="25" xfId="93" applyNumberFormat="1" applyFont="1" applyBorder="1" applyAlignment="1" applyProtection="1">
      <alignment horizontal="centerContinuous" vertical="center"/>
      <protection/>
    </xf>
    <xf numFmtId="170" fontId="24" fillId="0" borderId="26" xfId="93" applyNumberFormat="1" applyFont="1" applyBorder="1" applyAlignment="1" applyProtection="1">
      <alignment horizontal="center" vertical="center"/>
      <protection/>
    </xf>
    <xf numFmtId="170" fontId="24" fillId="0" borderId="0" xfId="93" applyNumberFormat="1" applyFont="1" applyFill="1" applyBorder="1" applyAlignment="1" applyProtection="1">
      <alignment horizontal="center" vertical="center"/>
      <protection/>
    </xf>
    <xf numFmtId="174" fontId="49" fillId="0" borderId="0" xfId="93" applyFont="1" applyFill="1" applyBorder="1" applyAlignment="1" applyProtection="1">
      <alignment horizontal="center" vertical="center"/>
      <protection/>
    </xf>
    <xf numFmtId="1" fontId="24" fillId="0" borderId="0" xfId="93" applyNumberFormat="1" applyFont="1" applyFill="1" applyBorder="1" applyAlignment="1" applyProtection="1">
      <alignment horizontal="center" vertical="center"/>
      <protection/>
    </xf>
    <xf numFmtId="174" fontId="24" fillId="0" borderId="31" xfId="93" applyFont="1" applyBorder="1" applyAlignment="1" applyProtection="1">
      <alignment vertical="center"/>
      <protection/>
    </xf>
    <xf numFmtId="174" fontId="24" fillId="0" borderId="24" xfId="93" applyFont="1" applyBorder="1" applyAlignment="1" applyProtection="1">
      <alignment vertical="center"/>
      <protection/>
    </xf>
    <xf numFmtId="174" fontId="24" fillId="0" borderId="43" xfId="93" applyFont="1" applyBorder="1" applyAlignment="1" applyProtection="1">
      <alignment vertical="center"/>
      <protection/>
    </xf>
    <xf numFmtId="174" fontId="24" fillId="0" borderId="30" xfId="93" applyFont="1" applyBorder="1" applyAlignment="1" applyProtection="1">
      <alignment horizontal="center" vertical="center"/>
      <protection/>
    </xf>
    <xf numFmtId="170" fontId="24" fillId="0" borderId="30" xfId="93" applyNumberFormat="1" applyFont="1" applyBorder="1" applyAlignment="1" applyProtection="1">
      <alignment horizontal="center" vertical="center"/>
      <protection/>
    </xf>
    <xf numFmtId="1" fontId="51" fillId="0" borderId="0" xfId="93" applyNumberFormat="1" applyFont="1" applyFill="1" applyBorder="1" applyAlignment="1" applyProtection="1">
      <alignment vertical="center"/>
      <protection/>
    </xf>
    <xf numFmtId="1" fontId="51" fillId="0" borderId="0" xfId="93" applyNumberFormat="1" applyFont="1" applyFill="1" applyBorder="1" applyAlignment="1" applyProtection="1">
      <alignment horizontal="center" vertical="center"/>
      <protection/>
    </xf>
    <xf numFmtId="174" fontId="24" fillId="0" borderId="0" xfId="93" applyNumberFormat="1" applyFont="1" applyFill="1" applyBorder="1" applyAlignment="1" applyProtection="1">
      <alignment horizontal="right" vertical="center"/>
      <protection/>
    </xf>
    <xf numFmtId="174" fontId="24" fillId="0" borderId="44" xfId="93" applyFont="1" applyBorder="1" applyAlignment="1" applyProtection="1">
      <alignment vertical="center"/>
      <protection/>
    </xf>
    <xf numFmtId="174" fontId="24" fillId="0" borderId="38" xfId="93" applyFont="1" applyBorder="1" applyAlignment="1" applyProtection="1">
      <alignment vertical="center"/>
      <protection/>
    </xf>
    <xf numFmtId="174" fontId="24" fillId="0" borderId="38" xfId="93" applyFont="1" applyBorder="1" applyAlignment="1" applyProtection="1">
      <alignment horizontal="center" vertical="center"/>
      <protection/>
    </xf>
    <xf numFmtId="170" fontId="24" fillId="0" borderId="38" xfId="93" applyNumberFormat="1" applyFont="1" applyBorder="1" applyAlignment="1" applyProtection="1">
      <alignment horizontal="center" vertical="center"/>
      <protection/>
    </xf>
    <xf numFmtId="170" fontId="0" fillId="0" borderId="25" xfId="93" applyNumberFormat="1" applyFont="1" applyFill="1" applyBorder="1" applyAlignment="1" applyProtection="1">
      <alignment horizontal="left" vertical="center"/>
      <protection/>
    </xf>
    <xf numFmtId="174" fontId="0" fillId="0" borderId="45" xfId="93" applyFont="1" applyBorder="1" applyAlignment="1" applyProtection="1">
      <alignment vertical="center"/>
      <protection/>
    </xf>
    <xf numFmtId="170" fontId="0" fillId="0" borderId="39" xfId="93" applyNumberFormat="1" applyFont="1" applyBorder="1" applyAlignment="1" applyProtection="1">
      <alignment horizontal="left" vertical="center"/>
      <protection/>
    </xf>
    <xf numFmtId="3" fontId="0" fillId="46" borderId="46" xfId="93" applyNumberFormat="1" applyFont="1" applyFill="1" applyBorder="1" applyAlignment="1" applyProtection="1">
      <alignment vertical="center"/>
      <protection locked="0"/>
    </xf>
    <xf numFmtId="178" fontId="49" fillId="0" borderId="0" xfId="93" applyNumberFormat="1" applyFont="1" applyFill="1" applyBorder="1" applyAlignment="1" applyProtection="1">
      <alignment vertical="center"/>
      <protection/>
    </xf>
    <xf numFmtId="171" fontId="0" fillId="0" borderId="0" xfId="93" applyNumberFormat="1" applyFont="1" applyFill="1" applyBorder="1" applyAlignment="1" applyProtection="1">
      <alignment horizontal="right" vertical="center"/>
      <protection/>
    </xf>
    <xf numFmtId="1" fontId="31" fillId="0" borderId="0" xfId="93" applyNumberFormat="1" applyFont="1" applyAlignment="1" applyProtection="1">
      <alignment vertical="center"/>
      <protection/>
    </xf>
    <xf numFmtId="174" fontId="0" fillId="0" borderId="47" xfId="93" applyFont="1" applyFill="1" applyBorder="1" applyAlignment="1" applyProtection="1">
      <alignment vertical="center"/>
      <protection/>
    </xf>
    <xf numFmtId="174" fontId="0" fillId="0" borderId="48" xfId="93" applyFont="1" applyFill="1" applyBorder="1" applyAlignment="1" applyProtection="1">
      <alignment vertical="center"/>
      <protection/>
    </xf>
    <xf numFmtId="3" fontId="0" fillId="46" borderId="48" xfId="93" applyNumberFormat="1" applyFont="1" applyFill="1" applyBorder="1" applyAlignment="1" applyProtection="1">
      <alignment vertical="center"/>
      <protection locked="0"/>
    </xf>
    <xf numFmtId="170" fontId="0" fillId="0" borderId="47" xfId="93" applyNumberFormat="1" applyFont="1" applyFill="1" applyBorder="1" applyAlignment="1" applyProtection="1">
      <alignment vertical="center"/>
      <protection/>
    </xf>
    <xf numFmtId="174" fontId="49" fillId="0" borderId="0" xfId="93" applyNumberFormat="1" applyFont="1" applyFill="1" applyBorder="1" applyAlignment="1" applyProtection="1">
      <alignment vertical="center"/>
      <protection/>
    </xf>
    <xf numFmtId="174" fontId="49" fillId="0" borderId="0" xfId="93" applyFont="1" applyBorder="1" applyAlignment="1" applyProtection="1">
      <alignment vertical="center"/>
      <protection/>
    </xf>
    <xf numFmtId="174" fontId="49" fillId="0" borderId="0" xfId="93" applyFont="1" applyFill="1" applyAlignment="1" applyProtection="1">
      <alignment vertical="center"/>
      <protection/>
    </xf>
    <xf numFmtId="0" fontId="0" fillId="0" borderId="25" xfId="93" applyNumberFormat="1" applyFont="1" applyFill="1" applyBorder="1" applyAlignment="1" applyProtection="1">
      <alignment vertical="center"/>
      <protection/>
    </xf>
    <xf numFmtId="170" fontId="24" fillId="0" borderId="44" xfId="93" applyNumberFormat="1" applyFont="1" applyFill="1" applyBorder="1" applyAlignment="1" applyProtection="1">
      <alignment vertical="center"/>
      <protection/>
    </xf>
    <xf numFmtId="0" fontId="24" fillId="0" borderId="38" xfId="93" applyNumberFormat="1" applyFont="1" applyFill="1" applyBorder="1" applyAlignment="1" applyProtection="1">
      <alignment vertical="center"/>
      <protection/>
    </xf>
    <xf numFmtId="174" fontId="24" fillId="0" borderId="38" xfId="93" applyNumberFormat="1" applyFont="1" applyFill="1" applyBorder="1" applyAlignment="1" applyProtection="1">
      <alignment horizontal="center" vertical="center"/>
      <protection/>
    </xf>
    <xf numFmtId="178" fontId="24" fillId="0" borderId="38" xfId="93" applyNumberFormat="1" applyFont="1" applyFill="1" applyBorder="1" applyAlignment="1" applyProtection="1">
      <alignment vertical="center"/>
      <protection/>
    </xf>
    <xf numFmtId="178" fontId="0" fillId="0" borderId="0" xfId="93" applyNumberFormat="1" applyFont="1" applyFill="1" applyBorder="1" applyAlignment="1" applyProtection="1">
      <alignment vertical="center"/>
      <protection/>
    </xf>
    <xf numFmtId="0" fontId="0" fillId="0" borderId="49" xfId="93" applyNumberFormat="1" applyFont="1" applyFill="1" applyBorder="1" applyAlignment="1" applyProtection="1">
      <alignment vertical="center"/>
      <protection/>
    </xf>
    <xf numFmtId="0" fontId="0" fillId="0" borderId="50" xfId="93" applyNumberFormat="1" applyFont="1" applyFill="1" applyBorder="1" applyAlignment="1" applyProtection="1">
      <alignment vertical="center"/>
      <protection/>
    </xf>
    <xf numFmtId="190" fontId="0" fillId="0" borderId="32" xfId="93" applyNumberFormat="1" applyFont="1" applyBorder="1" applyAlignment="1" applyProtection="1">
      <alignment vertical="center"/>
      <protection/>
    </xf>
    <xf numFmtId="190" fontId="0" fillId="0" borderId="28" xfId="93" applyNumberFormat="1" applyFont="1" applyBorder="1" applyAlignment="1" applyProtection="1">
      <alignment vertical="center"/>
      <protection/>
    </xf>
    <xf numFmtId="174" fontId="0" fillId="45" borderId="26" xfId="93" applyFont="1" applyFill="1" applyBorder="1" applyAlignment="1" applyProtection="1">
      <alignment vertical="center"/>
      <protection/>
    </xf>
    <xf numFmtId="174" fontId="0" fillId="45" borderId="28" xfId="93" applyFont="1" applyFill="1" applyBorder="1" applyAlignment="1" applyProtection="1">
      <alignment vertical="center"/>
      <protection/>
    </xf>
    <xf numFmtId="0" fontId="0" fillId="0" borderId="48" xfId="93" applyNumberFormat="1" applyFont="1" applyFill="1" applyBorder="1" applyAlignment="1" applyProtection="1">
      <alignment vertical="center"/>
      <protection/>
    </xf>
    <xf numFmtId="190" fontId="0" fillId="0" borderId="21" xfId="93" applyNumberFormat="1" applyFont="1" applyBorder="1" applyAlignment="1" applyProtection="1">
      <alignment vertical="center"/>
      <protection/>
    </xf>
    <xf numFmtId="174" fontId="32" fillId="0" borderId="0" xfId="93" applyNumberFormat="1" applyFont="1" applyBorder="1" applyAlignment="1" applyProtection="1">
      <alignment vertical="center"/>
      <protection/>
    </xf>
    <xf numFmtId="173" fontId="0" fillId="0" borderId="36" xfId="93" applyNumberFormat="1" applyFont="1" applyBorder="1" applyAlignment="1" applyProtection="1">
      <alignment vertical="center"/>
      <protection/>
    </xf>
    <xf numFmtId="190" fontId="0" fillId="0" borderId="36" xfId="93" applyNumberFormat="1" applyFont="1" applyBorder="1" applyAlignment="1" applyProtection="1">
      <alignment vertical="center"/>
      <protection/>
    </xf>
    <xf numFmtId="190" fontId="0" fillId="0" borderId="30" xfId="93" applyNumberFormat="1" applyFont="1" applyBorder="1" applyAlignment="1" applyProtection="1">
      <alignment vertical="center"/>
      <protection/>
    </xf>
    <xf numFmtId="174" fontId="0" fillId="45" borderId="30" xfId="93" applyFont="1" applyFill="1" applyBorder="1" applyAlignment="1" applyProtection="1">
      <alignment vertical="center"/>
      <protection/>
    </xf>
    <xf numFmtId="170" fontId="0" fillId="0" borderId="0" xfId="93" applyNumberFormat="1" applyFont="1" applyBorder="1" applyAlignment="1" applyProtection="1">
      <alignment horizontal="left" vertical="center"/>
      <protection/>
    </xf>
    <xf numFmtId="171" fontId="0" fillId="0" borderId="0" xfId="93" applyNumberFormat="1" applyFont="1" applyBorder="1" applyAlignment="1" applyProtection="1">
      <alignment vertical="center"/>
      <protection/>
    </xf>
    <xf numFmtId="173" fontId="0" fillId="0" borderId="0" xfId="93" applyNumberFormat="1" applyFont="1" applyBorder="1" applyAlignment="1" applyProtection="1">
      <alignment vertical="center"/>
      <protection/>
    </xf>
    <xf numFmtId="173" fontId="0" fillId="0" borderId="0" xfId="93" applyNumberFormat="1" applyFont="1" applyBorder="1" applyAlignment="1" applyProtection="1">
      <alignment horizontal="right" vertical="center"/>
      <protection/>
    </xf>
    <xf numFmtId="190" fontId="0" fillId="0" borderId="30" xfId="93" applyNumberFormat="1" applyFont="1" applyBorder="1" applyAlignment="1" applyProtection="1">
      <alignment horizontal="right" vertical="center"/>
      <protection/>
    </xf>
    <xf numFmtId="190" fontId="0" fillId="0" borderId="22" xfId="93" applyNumberFormat="1" applyFont="1" applyBorder="1" applyAlignment="1" applyProtection="1">
      <alignment horizontal="right" vertical="center"/>
      <protection/>
    </xf>
    <xf numFmtId="173" fontId="0" fillId="0" borderId="0" xfId="93" applyNumberFormat="1" applyFont="1" applyBorder="1" applyAlignment="1" applyProtection="1">
      <alignment horizontal="left" vertical="center"/>
      <protection/>
    </xf>
    <xf numFmtId="174" fontId="26" fillId="0" borderId="0" xfId="93" applyNumberFormat="1" applyFont="1" applyAlignment="1" applyProtection="1">
      <alignment vertical="center"/>
      <protection/>
    </xf>
    <xf numFmtId="1" fontId="26" fillId="0" borderId="0" xfId="93" applyNumberFormat="1" applyFont="1" applyAlignment="1" applyProtection="1">
      <alignment vertical="center"/>
      <protection/>
    </xf>
    <xf numFmtId="174" fontId="34" fillId="0" borderId="0" xfId="93" applyFont="1" applyAlignment="1" applyProtection="1">
      <alignment vertical="center"/>
      <protection/>
    </xf>
    <xf numFmtId="174" fontId="0" fillId="0" borderId="0" xfId="93" applyFont="1" applyAlignment="1" applyProtection="1" quotePrefix="1">
      <alignment vertical="center"/>
      <protection/>
    </xf>
    <xf numFmtId="174" fontId="0" fillId="0" borderId="0" xfId="93" applyFont="1" applyAlignment="1" applyProtection="1" quotePrefix="1">
      <alignment horizontal="right" vertical="center"/>
      <protection/>
    </xf>
    <xf numFmtId="174" fontId="29" fillId="0" borderId="0" xfId="93" applyFont="1" applyAlignment="1" applyProtection="1">
      <alignment horizontal="right" vertical="center"/>
      <protection/>
    </xf>
    <xf numFmtId="174" fontId="48" fillId="0" borderId="0" xfId="93" applyFont="1" applyAlignment="1" applyProtection="1">
      <alignment vertical="center"/>
      <protection/>
    </xf>
    <xf numFmtId="174" fontId="48" fillId="0" borderId="0" xfId="93" applyFont="1" applyAlignment="1" applyProtection="1">
      <alignment horizontal="right" vertical="center"/>
      <protection/>
    </xf>
    <xf numFmtId="2" fontId="49" fillId="0" borderId="0" xfId="93" applyNumberFormat="1" applyFont="1" applyFill="1" applyBorder="1" applyAlignment="1" applyProtection="1">
      <alignment vertical="center"/>
      <protection/>
    </xf>
    <xf numFmtId="170" fontId="24" fillId="0" borderId="27" xfId="93" applyNumberFormat="1" applyFont="1" applyBorder="1" applyAlignment="1" applyProtection="1">
      <alignment horizontal="left" vertical="center"/>
      <protection/>
    </xf>
    <xf numFmtId="170" fontId="24" fillId="0" borderId="41" xfId="93" applyNumberFormat="1" applyFont="1" applyBorder="1" applyAlignment="1" applyProtection="1">
      <alignment horizontal="left" vertical="center"/>
      <protection/>
    </xf>
    <xf numFmtId="174" fontId="0" fillId="0" borderId="41" xfId="93" applyFont="1" applyBorder="1" applyAlignment="1" applyProtection="1">
      <alignment vertical="center"/>
      <protection/>
    </xf>
    <xf numFmtId="174" fontId="24" fillId="0" borderId="26" xfId="93" applyFont="1" applyBorder="1" applyAlignment="1" applyProtection="1">
      <alignment vertical="center"/>
      <protection/>
    </xf>
    <xf numFmtId="174" fontId="24" fillId="0" borderId="42" xfId="93" applyFont="1" applyBorder="1" applyAlignment="1" applyProtection="1">
      <alignment horizontal="center" vertical="center"/>
      <protection/>
    </xf>
    <xf numFmtId="2" fontId="26" fillId="0" borderId="0" xfId="93" applyNumberFormat="1" applyFont="1" applyAlignment="1" applyProtection="1">
      <alignment vertical="center"/>
      <protection/>
    </xf>
    <xf numFmtId="170" fontId="24" fillId="0" borderId="31" xfId="93" applyNumberFormat="1" applyFont="1" applyBorder="1" applyAlignment="1" applyProtection="1">
      <alignment horizontal="left" vertical="center"/>
      <protection/>
    </xf>
    <xf numFmtId="174" fontId="24" fillId="0" borderId="30" xfId="93" applyFont="1" applyBorder="1" applyAlignment="1" applyProtection="1">
      <alignment vertical="center"/>
      <protection/>
    </xf>
    <xf numFmtId="170" fontId="0" fillId="0" borderId="51" xfId="93" applyNumberFormat="1" applyFont="1" applyBorder="1" applyAlignment="1" applyProtection="1">
      <alignment horizontal="left" vertical="center"/>
      <protection/>
    </xf>
    <xf numFmtId="170" fontId="0" fillId="0" borderId="46" xfId="93" applyNumberFormat="1" applyFont="1" applyBorder="1" applyAlignment="1" applyProtection="1">
      <alignment horizontal="left" vertical="center"/>
      <protection/>
    </xf>
    <xf numFmtId="170" fontId="0" fillId="0" borderId="40" xfId="93" applyNumberFormat="1" applyFont="1" applyBorder="1" applyAlignment="1" applyProtection="1">
      <alignment horizontal="left" vertical="center"/>
      <protection/>
    </xf>
    <xf numFmtId="190" fontId="0" fillId="0" borderId="19" xfId="93" applyNumberFormat="1" applyFont="1" applyBorder="1" applyAlignment="1" applyProtection="1">
      <alignment vertical="center"/>
      <protection/>
    </xf>
    <xf numFmtId="170" fontId="0" fillId="0" borderId="47" xfId="93" applyNumberFormat="1" applyFont="1" applyBorder="1" applyAlignment="1" applyProtection="1">
      <alignment horizontal="left" vertical="center"/>
      <protection/>
    </xf>
    <xf numFmtId="170" fontId="0" fillId="0" borderId="48" xfId="93" applyNumberFormat="1" applyFont="1" applyBorder="1" applyAlignment="1" applyProtection="1">
      <alignment horizontal="left" vertical="center"/>
      <protection/>
    </xf>
    <xf numFmtId="170" fontId="0" fillId="0" borderId="19" xfId="93" applyNumberFormat="1" applyFont="1" applyBorder="1" applyAlignment="1" applyProtection="1">
      <alignment horizontal="left" vertical="center"/>
      <protection/>
    </xf>
    <xf numFmtId="2" fontId="0" fillId="45" borderId="32" xfId="93" applyNumberFormat="1" applyFont="1" applyFill="1" applyBorder="1" applyAlignment="1" applyProtection="1">
      <alignment horizontal="right" vertical="center" indent="1"/>
      <protection/>
    </xf>
    <xf numFmtId="174" fontId="0" fillId="45" borderId="33" xfId="93" applyFont="1" applyFill="1" applyBorder="1" applyAlignment="1" applyProtection="1">
      <alignment vertical="center"/>
      <protection/>
    </xf>
    <xf numFmtId="174" fontId="24" fillId="0" borderId="0" xfId="93" applyFont="1" applyAlignment="1" applyProtection="1">
      <alignment horizontal="left" vertical="center"/>
      <protection/>
    </xf>
    <xf numFmtId="170" fontId="0" fillId="0" borderId="49" xfId="93" applyNumberFormat="1" applyFont="1" applyBorder="1" applyAlignment="1" applyProtection="1">
      <alignment horizontal="left" vertical="center"/>
      <protection/>
    </xf>
    <xf numFmtId="170" fontId="0" fillId="0" borderId="50" xfId="93" applyNumberFormat="1" applyFont="1" applyBorder="1" applyAlignment="1" applyProtection="1">
      <alignment horizontal="left" vertical="center"/>
      <protection/>
    </xf>
    <xf numFmtId="170" fontId="0" fillId="0" borderId="33" xfId="93" applyNumberFormat="1" applyFont="1" applyBorder="1" applyAlignment="1" applyProtection="1">
      <alignment horizontal="left" vertical="center"/>
      <protection/>
    </xf>
    <xf numFmtId="2" fontId="0" fillId="45" borderId="30" xfId="93" applyNumberFormat="1" applyFont="1" applyFill="1" applyBorder="1" applyAlignment="1" applyProtection="1">
      <alignment horizontal="right" vertical="center" indent="1"/>
      <protection/>
    </xf>
    <xf numFmtId="174" fontId="0" fillId="45" borderId="43" xfId="93" applyFont="1" applyFill="1" applyBorder="1" applyAlignment="1" applyProtection="1">
      <alignment vertical="center"/>
      <protection/>
    </xf>
    <xf numFmtId="174" fontId="49" fillId="0" borderId="0" xfId="93" applyFont="1" applyAlignment="1" applyProtection="1">
      <alignment horizontal="right" vertical="center"/>
      <protection/>
    </xf>
    <xf numFmtId="190" fontId="0" fillId="0" borderId="40" xfId="93" applyNumberFormat="1" applyFont="1" applyBorder="1" applyAlignment="1" applyProtection="1">
      <alignment vertical="center"/>
      <protection/>
    </xf>
    <xf numFmtId="174" fontId="0" fillId="0" borderId="0" xfId="93" applyFont="1" applyAlignment="1" applyProtection="1">
      <alignment horizontal="right" vertical="center"/>
      <protection/>
    </xf>
    <xf numFmtId="174" fontId="45" fillId="0" borderId="0" xfId="93" applyFont="1" applyAlignment="1" applyProtection="1">
      <alignment vertical="center"/>
      <protection/>
    </xf>
    <xf numFmtId="174" fontId="0" fillId="0" borderId="0" xfId="93" applyFont="1" applyAlignment="1" applyProtection="1">
      <alignment horizontal="center" vertical="center"/>
      <protection/>
    </xf>
    <xf numFmtId="174" fontId="0" fillId="0" borderId="0" xfId="93" applyFont="1" applyAlignment="1" applyProtection="1">
      <alignment horizontal="right" vertical="center"/>
      <protection/>
    </xf>
    <xf numFmtId="190" fontId="0" fillId="0" borderId="35" xfId="93" applyNumberFormat="1" applyFont="1" applyBorder="1" applyAlignment="1" applyProtection="1">
      <alignment vertical="center"/>
      <protection/>
    </xf>
    <xf numFmtId="170" fontId="24" fillId="0" borderId="0" xfId="93" applyNumberFormat="1" applyFont="1" applyAlignment="1" applyProtection="1">
      <alignment horizontal="left" vertical="center"/>
      <protection/>
    </xf>
    <xf numFmtId="174" fontId="24" fillId="0" borderId="0" xfId="93" applyFont="1" applyAlignment="1" applyProtection="1">
      <alignment horizontal="right" vertical="center"/>
      <protection/>
    </xf>
    <xf numFmtId="172" fontId="0" fillId="0" borderId="22" xfId="93" applyNumberFormat="1" applyFont="1" applyBorder="1" applyAlignment="1" applyProtection="1">
      <alignment vertical="center"/>
      <protection/>
    </xf>
    <xf numFmtId="174" fontId="54" fillId="0" borderId="0" xfId="93" applyFont="1" applyAlignment="1" applyProtection="1">
      <alignment vertical="center"/>
      <protection/>
    </xf>
    <xf numFmtId="172" fontId="0" fillId="0" borderId="0" xfId="93" applyNumberFormat="1" applyFont="1" applyBorder="1" applyAlignment="1" applyProtection="1">
      <alignment vertical="center"/>
      <protection/>
    </xf>
    <xf numFmtId="190" fontId="0" fillId="0" borderId="22" xfId="93" applyNumberFormat="1" applyFont="1" applyBorder="1" applyAlignment="1" applyProtection="1">
      <alignment vertical="center"/>
      <protection/>
    </xf>
    <xf numFmtId="170" fontId="25" fillId="0" borderId="0" xfId="93" applyNumberFormat="1" applyFont="1" applyBorder="1" applyAlignment="1" applyProtection="1">
      <alignment horizontal="left" vertical="center"/>
      <protection/>
    </xf>
    <xf numFmtId="171" fontId="24" fillId="0" borderId="0" xfId="93" applyNumberFormat="1" applyFont="1" applyBorder="1" applyAlignment="1" applyProtection="1">
      <alignment vertical="center"/>
      <protection/>
    </xf>
    <xf numFmtId="170" fontId="0" fillId="0" borderId="41" xfId="93" applyNumberFormat="1" applyFont="1" applyBorder="1" applyAlignment="1" applyProtection="1">
      <alignment horizontal="left" vertical="center"/>
      <protection/>
    </xf>
    <xf numFmtId="171" fontId="0" fillId="0" borderId="41" xfId="93" applyNumberFormat="1" applyFont="1" applyBorder="1" applyAlignment="1" applyProtection="1">
      <alignment vertical="center"/>
      <protection/>
    </xf>
    <xf numFmtId="173" fontId="0" fillId="0" borderId="41" xfId="93" applyNumberFormat="1" applyFont="1" applyBorder="1" applyAlignment="1" applyProtection="1">
      <alignment vertical="center"/>
      <protection/>
    </xf>
    <xf numFmtId="173" fontId="0" fillId="0" borderId="42" xfId="93" applyNumberFormat="1" applyFont="1" applyBorder="1" applyAlignment="1" applyProtection="1">
      <alignment horizontal="left" vertical="center"/>
      <protection/>
    </xf>
    <xf numFmtId="170" fontId="0" fillId="0" borderId="27" xfId="93" applyNumberFormat="1" applyFont="1" applyBorder="1" applyAlignment="1" applyProtection="1">
      <alignment horizontal="left" vertical="center"/>
      <protection/>
    </xf>
    <xf numFmtId="171" fontId="0" fillId="0" borderId="25" xfId="93" applyNumberFormat="1" applyFont="1" applyBorder="1" applyAlignment="1" applyProtection="1">
      <alignment vertical="center"/>
      <protection/>
    </xf>
    <xf numFmtId="174" fontId="0" fillId="0" borderId="26" xfId="93" applyFont="1" applyBorder="1" applyAlignment="1" applyProtection="1">
      <alignment horizontal="center" vertical="center"/>
      <protection/>
    </xf>
    <xf numFmtId="171" fontId="0" fillId="0" borderId="26" xfId="93" applyNumberFormat="1" applyFont="1" applyBorder="1" applyAlignment="1" applyProtection="1">
      <alignment horizontal="center" vertical="center"/>
      <protection/>
    </xf>
    <xf numFmtId="173" fontId="0" fillId="0" borderId="26" xfId="93" applyNumberFormat="1" applyFont="1" applyBorder="1" applyAlignment="1" applyProtection="1">
      <alignment horizontal="center" vertical="center"/>
      <protection/>
    </xf>
    <xf numFmtId="173" fontId="0" fillId="0" borderId="26" xfId="93" applyNumberFormat="1" applyFont="1" applyBorder="1" applyAlignment="1" applyProtection="1">
      <alignment horizontal="left" vertical="center"/>
      <protection/>
    </xf>
    <xf numFmtId="170" fontId="24" fillId="0" borderId="29" xfId="93" applyNumberFormat="1" applyFont="1" applyBorder="1" applyAlignment="1" applyProtection="1">
      <alignment horizontal="left" vertical="center"/>
      <protection/>
    </xf>
    <xf numFmtId="174" fontId="0" fillId="0" borderId="30" xfId="93" applyFont="1" applyBorder="1" applyAlignment="1" applyProtection="1">
      <alignment horizontal="center" vertical="center"/>
      <protection/>
    </xf>
    <xf numFmtId="171" fontId="0" fillId="0" borderId="30" xfId="93" applyNumberFormat="1" applyFont="1" applyBorder="1" applyAlignment="1" applyProtection="1" quotePrefix="1">
      <alignment horizontal="center" vertical="center"/>
      <protection/>
    </xf>
    <xf numFmtId="173" fontId="0" fillId="0" borderId="30" xfId="93" applyNumberFormat="1" applyFont="1" applyBorder="1" applyAlignment="1" applyProtection="1">
      <alignment horizontal="center" vertical="center"/>
      <protection/>
    </xf>
    <xf numFmtId="1" fontId="43" fillId="0" borderId="0" xfId="93" applyNumberFormat="1" applyFont="1" applyBorder="1" applyAlignment="1" applyProtection="1">
      <alignment vertical="center"/>
      <protection/>
    </xf>
    <xf numFmtId="190" fontId="0" fillId="0" borderId="26" xfId="93" applyNumberFormat="1" applyFont="1" applyBorder="1" applyAlignment="1" applyProtection="1">
      <alignment vertical="center"/>
      <protection/>
    </xf>
    <xf numFmtId="171" fontId="0" fillId="45" borderId="26" xfId="93" applyNumberFormat="1" applyFont="1" applyFill="1" applyBorder="1" applyAlignment="1" applyProtection="1">
      <alignment horizontal="left" vertical="center"/>
      <protection/>
    </xf>
    <xf numFmtId="170" fontId="0" fillId="0" borderId="45" xfId="93" applyNumberFormat="1" applyFont="1" applyBorder="1" applyAlignment="1" applyProtection="1">
      <alignment horizontal="left" vertical="center"/>
      <protection/>
    </xf>
    <xf numFmtId="171" fontId="0" fillId="45" borderId="28" xfId="93" applyNumberFormat="1" applyFont="1" applyFill="1" applyBorder="1" applyAlignment="1" applyProtection="1">
      <alignment horizontal="left" vertical="center"/>
      <protection/>
    </xf>
    <xf numFmtId="1" fontId="43" fillId="0" borderId="0" xfId="93" applyNumberFormat="1" applyFont="1" applyAlignment="1" applyProtection="1">
      <alignment vertical="center"/>
      <protection/>
    </xf>
    <xf numFmtId="1" fontId="0" fillId="0" borderId="0" xfId="93" applyNumberFormat="1" applyFont="1" applyBorder="1" applyAlignment="1" applyProtection="1">
      <alignment vertical="center"/>
      <protection/>
    </xf>
    <xf numFmtId="174" fontId="0" fillId="0" borderId="27" xfId="93" applyFont="1" applyBorder="1" applyAlignment="1" applyProtection="1">
      <alignment vertical="center"/>
      <protection/>
    </xf>
    <xf numFmtId="171" fontId="0" fillId="45" borderId="34" xfId="93" applyNumberFormat="1" applyFont="1" applyFill="1" applyBorder="1" applyAlignment="1" applyProtection="1">
      <alignment vertical="center"/>
      <protection/>
    </xf>
    <xf numFmtId="190" fontId="0" fillId="0" borderId="34" xfId="93" applyNumberFormat="1" applyFont="1" applyBorder="1" applyAlignment="1" applyProtection="1">
      <alignment vertical="center"/>
      <protection/>
    </xf>
    <xf numFmtId="174" fontId="0" fillId="0" borderId="47" xfId="93" applyFont="1" applyBorder="1" applyAlignment="1" applyProtection="1">
      <alignment vertical="center"/>
      <protection/>
    </xf>
    <xf numFmtId="174" fontId="0" fillId="0" borderId="48" xfId="93" applyFont="1" applyBorder="1" applyAlignment="1" applyProtection="1">
      <alignment vertical="center"/>
      <protection/>
    </xf>
    <xf numFmtId="171" fontId="0" fillId="45" borderId="32" xfId="93" applyNumberFormat="1" applyFont="1" applyFill="1" applyBorder="1" applyAlignment="1" applyProtection="1">
      <alignment horizontal="left" vertical="center"/>
      <protection/>
    </xf>
    <xf numFmtId="174" fontId="0" fillId="0" borderId="39" xfId="93" applyFont="1" applyBorder="1" applyAlignment="1" applyProtection="1">
      <alignment vertical="center"/>
      <protection/>
    </xf>
    <xf numFmtId="171" fontId="0" fillId="45" borderId="20" xfId="93" applyNumberFormat="1" applyFont="1" applyFill="1" applyBorder="1" applyAlignment="1" applyProtection="1">
      <alignment horizontal="left" vertical="center"/>
      <protection/>
    </xf>
    <xf numFmtId="171" fontId="0" fillId="45" borderId="32" xfId="93" applyNumberFormat="1" applyFont="1" applyFill="1" applyBorder="1" applyAlignment="1" applyProtection="1">
      <alignment vertical="center"/>
      <protection/>
    </xf>
    <xf numFmtId="171" fontId="0" fillId="45" borderId="28" xfId="93" applyNumberFormat="1" applyFont="1" applyFill="1" applyBorder="1" applyAlignment="1" applyProtection="1">
      <alignment vertical="center"/>
      <protection/>
    </xf>
    <xf numFmtId="171" fontId="0" fillId="45" borderId="20" xfId="93" applyNumberFormat="1" applyFont="1" applyFill="1" applyBorder="1" applyAlignment="1" applyProtection="1">
      <alignment vertical="center"/>
      <protection/>
    </xf>
    <xf numFmtId="174" fontId="0" fillId="0" borderId="52" xfId="93" applyFont="1" applyBorder="1" applyAlignment="1" applyProtection="1">
      <alignment vertical="center"/>
      <protection/>
    </xf>
    <xf numFmtId="174" fontId="0" fillId="0" borderId="53" xfId="93" applyFont="1" applyBorder="1" applyAlignment="1" applyProtection="1">
      <alignment vertical="center"/>
      <protection/>
    </xf>
    <xf numFmtId="171" fontId="0" fillId="45" borderId="30" xfId="93" applyNumberFormat="1" applyFont="1" applyFill="1" applyBorder="1" applyAlignment="1" applyProtection="1">
      <alignment vertical="center"/>
      <protection/>
    </xf>
    <xf numFmtId="171" fontId="0" fillId="0" borderId="43" xfId="93" applyNumberFormat="1" applyFont="1" applyBorder="1" applyAlignment="1" applyProtection="1">
      <alignment vertical="center"/>
      <protection/>
    </xf>
    <xf numFmtId="171" fontId="0" fillId="0" borderId="54" xfId="93" applyNumberFormat="1" applyFont="1" applyBorder="1" applyAlignment="1" applyProtection="1">
      <alignment vertical="center"/>
      <protection/>
    </xf>
    <xf numFmtId="190" fontId="0" fillId="0" borderId="22" xfId="93" applyNumberFormat="1" applyFont="1" applyBorder="1" applyAlignment="1" applyProtection="1">
      <alignment horizontal="center" vertical="center"/>
      <protection/>
    </xf>
    <xf numFmtId="171" fontId="0" fillId="0" borderId="0" xfId="93" applyNumberFormat="1" applyFont="1" applyBorder="1" applyAlignment="1" applyProtection="1">
      <alignment horizontal="left" vertical="center"/>
      <protection/>
    </xf>
    <xf numFmtId="174" fontId="35" fillId="0" borderId="0" xfId="93" applyFont="1" applyAlignment="1" applyProtection="1">
      <alignment horizontal="right" vertical="center"/>
      <protection/>
    </xf>
    <xf numFmtId="190" fontId="0" fillId="0" borderId="25" xfId="93" applyNumberFormat="1" applyFont="1" applyBorder="1" applyAlignment="1" applyProtection="1">
      <alignment vertical="center"/>
      <protection/>
    </xf>
    <xf numFmtId="171" fontId="0" fillId="0" borderId="0" xfId="93" applyNumberFormat="1" applyFont="1" applyAlignment="1" applyProtection="1">
      <alignment vertical="center"/>
      <protection/>
    </xf>
    <xf numFmtId="171" fontId="0" fillId="0" borderId="24" xfId="93" applyNumberFormat="1" applyFont="1" applyBorder="1" applyAlignment="1" applyProtection="1">
      <alignment vertical="center"/>
      <protection/>
    </xf>
    <xf numFmtId="1" fontId="49" fillId="0" borderId="0" xfId="93" applyNumberFormat="1" applyFont="1" applyBorder="1" applyAlignment="1" applyProtection="1">
      <alignment vertical="center"/>
      <protection/>
    </xf>
    <xf numFmtId="174" fontId="49" fillId="0" borderId="0" xfId="93" applyNumberFormat="1" applyFont="1" applyAlignment="1" applyProtection="1">
      <alignment vertical="center"/>
      <protection/>
    </xf>
    <xf numFmtId="1" fontId="49" fillId="0" borderId="0" xfId="93" applyNumberFormat="1" applyFont="1" applyBorder="1" applyAlignment="1" applyProtection="1">
      <alignment horizontal="center" vertical="center"/>
      <protection/>
    </xf>
    <xf numFmtId="174" fontId="31" fillId="0" borderId="0" xfId="93" applyFont="1" applyProtection="1">
      <alignment/>
      <protection/>
    </xf>
    <xf numFmtId="174" fontId="0" fillId="0" borderId="42" xfId="93" applyFont="1" applyBorder="1" applyAlignment="1" applyProtection="1">
      <alignment vertical="center"/>
      <protection/>
    </xf>
    <xf numFmtId="171" fontId="24" fillId="0" borderId="27" xfId="93" applyNumberFormat="1" applyFont="1" applyBorder="1" applyAlignment="1" applyProtection="1">
      <alignment horizontal="centerContinuous" vertical="center"/>
      <protection/>
    </xf>
    <xf numFmtId="174" fontId="24" fillId="0" borderId="42" xfId="93" applyFont="1" applyBorder="1" applyAlignment="1" applyProtection="1">
      <alignment horizontal="centerContinuous" vertical="center"/>
      <protection/>
    </xf>
    <xf numFmtId="174" fontId="49" fillId="0" borderId="0" xfId="93" applyFont="1" applyAlignment="1" applyProtection="1">
      <alignment horizontal="left" vertical="center"/>
      <protection/>
    </xf>
    <xf numFmtId="2" fontId="49" fillId="0" borderId="0" xfId="93" applyNumberFormat="1" applyFont="1" applyBorder="1" applyAlignment="1" applyProtection="1">
      <alignment vertical="center"/>
      <protection/>
    </xf>
    <xf numFmtId="174" fontId="0" fillId="0" borderId="25" xfId="93" applyFont="1" applyBorder="1" applyAlignment="1" applyProtection="1">
      <alignment vertical="center"/>
      <protection/>
    </xf>
    <xf numFmtId="171" fontId="24" fillId="0" borderId="31" xfId="93" applyNumberFormat="1" applyFont="1" applyBorder="1" applyAlignment="1" applyProtection="1">
      <alignment horizontal="centerContinuous" vertical="center"/>
      <protection/>
    </xf>
    <xf numFmtId="174" fontId="24" fillId="0" borderId="43" xfId="93" applyFont="1" applyBorder="1" applyAlignment="1" applyProtection="1">
      <alignment horizontal="centerContinuous" vertical="center"/>
      <protection/>
    </xf>
    <xf numFmtId="171" fontId="24" fillId="0" borderId="31" xfId="93" applyNumberFormat="1" applyFont="1" applyBorder="1" applyAlignment="1" applyProtection="1">
      <alignment vertical="center"/>
      <protection/>
    </xf>
    <xf numFmtId="170" fontId="24" fillId="0" borderId="30" xfId="93" applyNumberFormat="1" applyFont="1" applyBorder="1" applyAlignment="1" applyProtection="1">
      <alignment horizontal="right" vertical="center"/>
      <protection/>
    </xf>
    <xf numFmtId="170" fontId="24" fillId="0" borderId="31" xfId="93" applyNumberFormat="1" applyFont="1" applyBorder="1" applyAlignment="1" applyProtection="1">
      <alignment horizontal="center" vertical="center"/>
      <protection/>
    </xf>
    <xf numFmtId="170" fontId="24" fillId="0" borderId="22" xfId="93" applyNumberFormat="1" applyFont="1" applyBorder="1" applyAlignment="1" applyProtection="1">
      <alignment horizontal="center" vertical="center"/>
      <protection/>
    </xf>
    <xf numFmtId="170" fontId="24" fillId="0" borderId="54" xfId="93" applyNumberFormat="1" applyFont="1" applyBorder="1" applyAlignment="1" applyProtection="1">
      <alignment horizontal="center" vertical="center"/>
      <protection/>
    </xf>
    <xf numFmtId="1" fontId="0" fillId="45" borderId="26" xfId="93" applyNumberFormat="1" applyFont="1" applyFill="1" applyBorder="1" applyAlignment="1" applyProtection="1">
      <alignment vertical="center"/>
      <protection/>
    </xf>
    <xf numFmtId="170" fontId="51" fillId="0" borderId="0" xfId="93" applyNumberFormat="1" applyFont="1" applyBorder="1" applyAlignment="1" applyProtection="1">
      <alignment horizontal="centerContinuous" vertical="center"/>
      <protection/>
    </xf>
    <xf numFmtId="1" fontId="0" fillId="45" borderId="28" xfId="93" applyNumberFormat="1" applyFont="1" applyFill="1" applyBorder="1" applyAlignment="1" applyProtection="1">
      <alignment vertical="center"/>
      <protection/>
    </xf>
    <xf numFmtId="170" fontId="51" fillId="0" borderId="0" xfId="93" applyNumberFormat="1" applyFont="1" applyBorder="1" applyAlignment="1" applyProtection="1">
      <alignment horizontal="left" vertical="center"/>
      <protection/>
    </xf>
    <xf numFmtId="190" fontId="0" fillId="0" borderId="55" xfId="93" applyNumberFormat="1" applyFont="1" applyBorder="1" applyAlignment="1" applyProtection="1">
      <alignment vertical="center"/>
      <protection/>
    </xf>
    <xf numFmtId="1" fontId="0" fillId="45" borderId="56" xfId="93" applyNumberFormat="1" applyFont="1" applyFill="1" applyBorder="1" applyAlignment="1" applyProtection="1">
      <alignment vertical="center"/>
      <protection/>
    </xf>
    <xf numFmtId="170" fontId="24" fillId="0" borderId="57" xfId="93" applyNumberFormat="1" applyFont="1" applyBorder="1" applyAlignment="1" applyProtection="1">
      <alignment horizontal="left" vertical="center"/>
      <protection/>
    </xf>
    <xf numFmtId="170" fontId="24" fillId="0" borderId="58" xfId="93" applyNumberFormat="1" applyFont="1" applyBorder="1" applyAlignment="1" applyProtection="1">
      <alignment horizontal="left" vertical="center"/>
      <protection/>
    </xf>
    <xf numFmtId="170" fontId="24" fillId="0" borderId="59" xfId="93" applyNumberFormat="1" applyFont="1" applyBorder="1" applyAlignment="1" applyProtection="1">
      <alignment horizontal="left" vertical="center"/>
      <protection/>
    </xf>
    <xf numFmtId="173" fontId="24" fillId="0" borderId="60" xfId="93" applyNumberFormat="1" applyFont="1" applyBorder="1" applyAlignment="1" applyProtection="1">
      <alignment vertical="center"/>
      <protection/>
    </xf>
    <xf numFmtId="173" fontId="24" fillId="0" borderId="61" xfId="93" applyNumberFormat="1" applyFont="1" applyBorder="1" applyAlignment="1" applyProtection="1">
      <alignment vertical="center"/>
      <protection/>
    </xf>
    <xf numFmtId="174" fontId="51" fillId="0" borderId="0" xfId="93" applyNumberFormat="1" applyFont="1" applyAlignment="1" applyProtection="1">
      <alignment vertical="center"/>
      <protection/>
    </xf>
    <xf numFmtId="49" fontId="32" fillId="55" borderId="0" xfId="93" applyNumberFormat="1" applyFont="1" applyFill="1" applyBorder="1" applyAlignment="1" applyProtection="1">
      <alignment vertical="center"/>
      <protection/>
    </xf>
    <xf numFmtId="49" fontId="32" fillId="55" borderId="0" xfId="93" applyNumberFormat="1" applyFont="1" applyFill="1" applyAlignment="1" applyProtection="1">
      <alignment vertical="center"/>
      <protection/>
    </xf>
    <xf numFmtId="1" fontId="0" fillId="0" borderId="31" xfId="93" applyNumberFormat="1" applyFont="1" applyBorder="1" applyAlignment="1" applyProtection="1">
      <alignment vertical="center"/>
      <protection/>
    </xf>
    <xf numFmtId="1" fontId="0" fillId="0" borderId="24" xfId="93" applyNumberFormat="1" applyFont="1" applyBorder="1" applyAlignment="1" applyProtection="1">
      <alignment vertical="center"/>
      <protection/>
    </xf>
    <xf numFmtId="1" fontId="0" fillId="0" borderId="43" xfId="93" applyNumberFormat="1" applyFont="1" applyBorder="1" applyAlignment="1" applyProtection="1">
      <alignment vertical="center"/>
      <protection/>
    </xf>
    <xf numFmtId="174" fontId="24" fillId="0" borderId="0" xfId="93" applyNumberFormat="1" applyFont="1" applyBorder="1" applyAlignment="1" applyProtection="1">
      <alignment vertical="center"/>
      <protection/>
    </xf>
    <xf numFmtId="1" fontId="24" fillId="0" borderId="0" xfId="93" applyNumberFormat="1" applyFont="1" applyBorder="1" applyAlignment="1" applyProtection="1">
      <alignment vertical="center"/>
      <protection/>
    </xf>
    <xf numFmtId="174" fontId="53" fillId="0" borderId="0" xfId="93" applyFont="1" applyAlignment="1" applyProtection="1">
      <alignment vertical="center"/>
      <protection/>
    </xf>
    <xf numFmtId="2" fontId="29" fillId="0" borderId="0" xfId="93" applyNumberFormat="1" applyFont="1" applyAlignment="1" applyProtection="1">
      <alignment horizontal="left" vertical="center"/>
      <protection/>
    </xf>
    <xf numFmtId="174" fontId="0" fillId="0" borderId="0" xfId="93" applyFont="1" applyFill="1" applyAlignment="1" applyProtection="1">
      <alignment vertical="center"/>
      <protection/>
    </xf>
    <xf numFmtId="174" fontId="24" fillId="0" borderId="62" xfId="93" applyNumberFormat="1" applyFont="1" applyBorder="1" applyAlignment="1" applyProtection="1">
      <alignment vertical="center"/>
      <protection/>
    </xf>
    <xf numFmtId="174" fontId="24" fillId="0" borderId="63" xfId="93" applyNumberFormat="1" applyFont="1" applyBorder="1" applyAlignment="1" applyProtection="1">
      <alignment vertical="center"/>
      <protection/>
    </xf>
    <xf numFmtId="174" fontId="0" fillId="0" borderId="63" xfId="93" applyFont="1" applyBorder="1" applyAlignment="1" applyProtection="1">
      <alignment vertical="center"/>
      <protection/>
    </xf>
    <xf numFmtId="1" fontId="0" fillId="0" borderId="63" xfId="93" applyNumberFormat="1" applyFont="1" applyBorder="1" applyAlignment="1" applyProtection="1">
      <alignment vertical="center"/>
      <protection/>
    </xf>
    <xf numFmtId="1" fontId="0" fillId="0" borderId="63" xfId="93" applyNumberFormat="1" applyFont="1" applyFill="1" applyBorder="1" applyAlignment="1" applyProtection="1">
      <alignment vertical="center"/>
      <protection/>
    </xf>
    <xf numFmtId="1" fontId="0" fillId="0" borderId="64" xfId="93" applyNumberFormat="1" applyFont="1" applyBorder="1" applyAlignment="1" applyProtection="1">
      <alignment horizontal="center" vertical="center"/>
      <protection/>
    </xf>
    <xf numFmtId="1" fontId="0" fillId="0" borderId="65" xfId="93" applyNumberFormat="1" applyFont="1" applyBorder="1" applyAlignment="1" applyProtection="1">
      <alignment horizontal="center" vertical="center"/>
      <protection/>
    </xf>
    <xf numFmtId="174" fontId="24" fillId="55" borderId="0" xfId="93" applyFont="1" applyFill="1" applyAlignment="1" applyProtection="1">
      <alignment vertical="center"/>
      <protection/>
    </xf>
    <xf numFmtId="174" fontId="33" fillId="0" borderId="0" xfId="93" applyNumberFormat="1" applyFont="1" applyAlignment="1" applyProtection="1">
      <alignment vertical="center"/>
      <protection/>
    </xf>
    <xf numFmtId="174" fontId="1" fillId="0" borderId="0" xfId="93" applyFont="1" applyAlignment="1" applyProtection="1">
      <alignment vertical="center"/>
      <protection/>
    </xf>
    <xf numFmtId="174" fontId="32" fillId="0" borderId="0" xfId="93" applyFont="1" applyAlignment="1" applyProtection="1" quotePrefix="1">
      <alignment vertical="center"/>
      <protection/>
    </xf>
    <xf numFmtId="174" fontId="48" fillId="55" borderId="0" xfId="93" applyFont="1" applyFill="1" applyBorder="1" applyAlignment="1" applyProtection="1">
      <alignment vertical="center"/>
      <protection/>
    </xf>
    <xf numFmtId="2" fontId="29" fillId="0" borderId="0" xfId="93" applyNumberFormat="1" applyFont="1" applyAlignment="1" applyProtection="1">
      <alignment horizontal="right" vertical="center"/>
      <protection/>
    </xf>
    <xf numFmtId="0" fontId="23" fillId="10" borderId="39" xfId="0" applyNumberFormat="1" applyFont="1" applyFill="1" applyBorder="1" applyAlignment="1" applyProtection="1">
      <alignment/>
      <protection locked="0"/>
    </xf>
    <xf numFmtId="174" fontId="48" fillId="55" borderId="0" xfId="93" applyFont="1" applyFill="1" applyAlignment="1" applyProtection="1">
      <alignment vertical="center"/>
      <protection/>
    </xf>
    <xf numFmtId="174" fontId="0" fillId="0" borderId="49" xfId="93" applyFont="1" applyBorder="1" applyAlignment="1" applyProtection="1">
      <alignment vertical="center"/>
      <protection/>
    </xf>
    <xf numFmtId="174" fontId="0" fillId="0" borderId="50" xfId="93" applyFont="1" applyBorder="1" applyAlignment="1" applyProtection="1">
      <alignment vertical="center"/>
      <protection/>
    </xf>
    <xf numFmtId="170" fontId="24" fillId="0" borderId="22" xfId="93" applyNumberFormat="1" applyFont="1" applyBorder="1" applyAlignment="1" applyProtection="1">
      <alignment horizontal="centerContinuous" vertical="center"/>
      <protection/>
    </xf>
    <xf numFmtId="173" fontId="0" fillId="0" borderId="41" xfId="93" applyNumberFormat="1" applyFont="1" applyBorder="1" applyAlignment="1" applyProtection="1">
      <alignment horizontal="left" vertical="center"/>
      <protection/>
    </xf>
    <xf numFmtId="173" fontId="0" fillId="0" borderId="45" xfId="93" applyNumberFormat="1" applyFont="1" applyBorder="1" applyAlignment="1" applyProtection="1">
      <alignment horizontal="centerContinuous" vertical="center"/>
      <protection/>
    </xf>
    <xf numFmtId="173" fontId="0" fillId="0" borderId="66" xfId="93" applyNumberFormat="1" applyFont="1" applyBorder="1" applyAlignment="1" applyProtection="1">
      <alignment horizontal="centerContinuous" vertical="center"/>
      <protection/>
    </xf>
    <xf numFmtId="173" fontId="0" fillId="0" borderId="33" xfId="93" applyNumberFormat="1" applyFont="1" applyBorder="1" applyAlignment="1" applyProtection="1">
      <alignment horizontal="centerContinuous" vertical="center"/>
      <protection/>
    </xf>
    <xf numFmtId="0" fontId="48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0" fontId="0" fillId="0" borderId="0" xfId="93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quotePrefix="1">
      <alignment/>
    </xf>
    <xf numFmtId="170" fontId="0" fillId="0" borderId="52" xfId="93" applyNumberFormat="1" applyFont="1" applyBorder="1" applyAlignment="1" applyProtection="1">
      <alignment horizontal="left" vertical="center"/>
      <protection/>
    </xf>
    <xf numFmtId="170" fontId="0" fillId="0" borderId="53" xfId="93" applyNumberFormat="1" applyFont="1" applyBorder="1" applyAlignment="1" applyProtection="1">
      <alignment horizontal="left" vertical="center"/>
      <protection/>
    </xf>
    <xf numFmtId="170" fontId="0" fillId="0" borderId="35" xfId="93" applyNumberFormat="1" applyFont="1" applyBorder="1" applyAlignment="1" applyProtection="1">
      <alignment horizontal="left" vertical="center"/>
      <protection/>
    </xf>
    <xf numFmtId="174" fontId="55" fillId="0" borderId="0" xfId="93" applyFont="1" applyAlignment="1" applyProtection="1">
      <alignment vertical="center"/>
      <protection/>
    </xf>
    <xf numFmtId="174" fontId="24" fillId="0" borderId="0" xfId="93" applyNumberFormat="1" applyFont="1" applyFill="1" applyBorder="1" applyAlignment="1" applyProtection="1">
      <alignment vertical="center"/>
      <protection/>
    </xf>
    <xf numFmtId="174" fontId="1" fillId="0" borderId="0" xfId="93" applyNumberFormat="1" applyFont="1" applyFill="1" applyBorder="1" applyAlignment="1" applyProtection="1">
      <alignment vertical="center"/>
      <protection/>
    </xf>
    <xf numFmtId="172" fontId="0" fillId="0" borderId="36" xfId="93" applyNumberFormat="1" applyFont="1" applyFill="1" applyBorder="1" applyAlignment="1" applyProtection="1">
      <alignment vertical="center"/>
      <protection/>
    </xf>
    <xf numFmtId="49" fontId="42" fillId="46" borderId="39" xfId="82" applyNumberFormat="1" applyFont="1" applyFill="1" applyBorder="1" applyAlignment="1" applyProtection="1">
      <alignment horizontal="left"/>
      <protection locked="0"/>
    </xf>
    <xf numFmtId="174" fontId="0" fillId="55" borderId="0" xfId="93" applyFont="1" applyFill="1" applyBorder="1" applyAlignment="1" applyProtection="1">
      <alignment vertical="center"/>
      <protection/>
    </xf>
    <xf numFmtId="2" fontId="49" fillId="0" borderId="0" xfId="93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7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84" fontId="0" fillId="0" borderId="0" xfId="0" applyNumberFormat="1" applyFont="1" applyFill="1" applyBorder="1" applyAlignment="1" applyProtection="1">
      <alignment horizontal="left"/>
      <protection/>
    </xf>
    <xf numFmtId="170" fontId="0" fillId="45" borderId="26" xfId="93" applyNumberFormat="1" applyFont="1" applyFill="1" applyBorder="1" applyAlignment="1" applyProtection="1">
      <alignment/>
      <protection/>
    </xf>
    <xf numFmtId="170" fontId="0" fillId="45" borderId="28" xfId="93" applyNumberFormat="1" applyFont="1" applyFill="1" applyBorder="1" applyAlignment="1" applyProtection="1">
      <alignment/>
      <protection/>
    </xf>
    <xf numFmtId="170" fontId="0" fillId="45" borderId="30" xfId="93" applyNumberFormat="1" applyFont="1" applyFill="1" applyBorder="1" applyAlignment="1" applyProtection="1">
      <alignment/>
      <protection/>
    </xf>
    <xf numFmtId="0" fontId="49" fillId="0" borderId="5" xfId="0" applyFont="1" applyBorder="1" applyAlignment="1" applyProtection="1">
      <alignment/>
      <protection/>
    </xf>
    <xf numFmtId="172" fontId="24" fillId="0" borderId="0" xfId="93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67" xfId="0" applyFont="1" applyBorder="1" applyAlignment="1" applyProtection="1">
      <alignment/>
      <protection/>
    </xf>
    <xf numFmtId="170" fontId="0" fillId="0" borderId="68" xfId="93" applyNumberFormat="1" applyFont="1" applyBorder="1" applyAlignment="1" applyProtection="1">
      <alignment horizontal="left" vertical="center"/>
      <protection/>
    </xf>
    <xf numFmtId="170" fontId="0" fillId="0" borderId="69" xfId="93" applyNumberFormat="1" applyFont="1" applyBorder="1" applyAlignment="1" applyProtection="1">
      <alignment horizontal="left" vertical="center"/>
      <protection/>
    </xf>
    <xf numFmtId="170" fontId="0" fillId="0" borderId="70" xfId="93" applyNumberFormat="1" applyFont="1" applyBorder="1" applyAlignment="1" applyProtection="1">
      <alignment horizontal="left" vertical="center"/>
      <protection/>
    </xf>
    <xf numFmtId="171" fontId="0" fillId="0" borderId="30" xfId="93" applyNumberFormat="1" applyFont="1" applyBorder="1" applyAlignment="1" applyProtection="1">
      <alignment vertical="center"/>
      <protection/>
    </xf>
    <xf numFmtId="171" fontId="0" fillId="0" borderId="59" xfId="93" applyNumberFormat="1" applyFont="1" applyBorder="1" applyAlignment="1" applyProtection="1">
      <alignment vertical="center"/>
      <protection/>
    </xf>
    <xf numFmtId="171" fontId="24" fillId="0" borderId="60" xfId="93" applyNumberFormat="1" applyFont="1" applyBorder="1" applyAlignment="1" applyProtection="1">
      <alignment vertical="center"/>
      <protection/>
    </xf>
    <xf numFmtId="171" fontId="0" fillId="0" borderId="60" xfId="93" applyNumberFormat="1" applyFont="1" applyBorder="1" applyAlignment="1" applyProtection="1">
      <alignment vertical="center"/>
      <protection/>
    </xf>
    <xf numFmtId="171" fontId="0" fillId="0" borderId="71" xfId="93" applyNumberFormat="1" applyFont="1" applyBorder="1" applyAlignment="1" applyProtection="1">
      <alignment vertical="center"/>
      <protection/>
    </xf>
    <xf numFmtId="174" fontId="24" fillId="0" borderId="72" xfId="93" applyNumberFormat="1" applyFont="1" applyBorder="1" applyAlignment="1" applyProtection="1">
      <alignment vertical="center"/>
      <protection/>
    </xf>
    <xf numFmtId="1" fontId="0" fillId="0" borderId="73" xfId="93" applyNumberFormat="1" applyFont="1" applyBorder="1" applyAlignment="1" applyProtection="1">
      <alignment horizontal="center" vertical="center"/>
      <protection/>
    </xf>
    <xf numFmtId="174" fontId="24" fillId="0" borderId="74" xfId="93" applyNumberFormat="1" applyFont="1" applyBorder="1" applyAlignment="1" applyProtection="1">
      <alignment vertical="center"/>
      <protection/>
    </xf>
    <xf numFmtId="174" fontId="24" fillId="0" borderId="23" xfId="93" applyNumberFormat="1" applyFont="1" applyBorder="1" applyAlignment="1" applyProtection="1">
      <alignment vertical="center"/>
      <protection/>
    </xf>
    <xf numFmtId="1" fontId="0" fillId="0" borderId="23" xfId="93" applyNumberFormat="1" applyFont="1" applyBorder="1" applyAlignment="1" applyProtection="1">
      <alignment vertical="center"/>
      <protection/>
    </xf>
    <xf numFmtId="1" fontId="0" fillId="0" borderId="23" xfId="93" applyNumberFormat="1" applyFont="1" applyFill="1" applyBorder="1" applyAlignment="1" applyProtection="1">
      <alignment vertical="center"/>
      <protection/>
    </xf>
    <xf numFmtId="1" fontId="0" fillId="0" borderId="63" xfId="93" applyNumberFormat="1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174" fontId="51" fillId="55" borderId="0" xfId="93" applyFont="1" applyFill="1" applyAlignment="1" applyProtection="1">
      <alignment vertical="center"/>
      <protection/>
    </xf>
    <xf numFmtId="174" fontId="51" fillId="0" borderId="0" xfId="93" applyFont="1" applyBorder="1" applyAlignment="1" applyProtection="1">
      <alignment horizontal="right" vertical="center"/>
      <protection/>
    </xf>
    <xf numFmtId="174" fontId="51" fillId="0" borderId="0" xfId="93" applyFont="1" applyAlignment="1" applyProtection="1">
      <alignment vertical="center"/>
      <protection/>
    </xf>
    <xf numFmtId="1" fontId="49" fillId="0" borderId="0" xfId="93" applyNumberFormat="1" applyFont="1" applyAlignment="1" applyProtection="1">
      <alignment horizontal="right" vertical="center"/>
      <protection/>
    </xf>
    <xf numFmtId="1" fontId="1" fillId="0" borderId="0" xfId="93" applyNumberFormat="1" applyFont="1" applyBorder="1" applyAlignment="1" applyProtection="1">
      <alignment horizontal="right"/>
      <protection/>
    </xf>
    <xf numFmtId="173" fontId="0" fillId="0" borderId="49" xfId="93" applyNumberFormat="1" applyFont="1" applyBorder="1" applyAlignment="1" applyProtection="1">
      <alignment horizontal="centerContinuous" vertical="center"/>
      <protection/>
    </xf>
    <xf numFmtId="1" fontId="0" fillId="0" borderId="0" xfId="93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4" fontId="49" fillId="0" borderId="75" xfId="93" applyFont="1" applyBorder="1" applyAlignment="1" applyProtection="1">
      <alignment vertical="center"/>
      <protection/>
    </xf>
    <xf numFmtId="172" fontId="24" fillId="0" borderId="44" xfId="93" applyNumberFormat="1" applyFont="1" applyBorder="1" applyAlignment="1" applyProtection="1">
      <alignment horizontal="centerContinuous" vertical="center"/>
      <protection/>
    </xf>
    <xf numFmtId="172" fontId="24" fillId="0" borderId="54" xfId="93" applyNumberFormat="1" applyFont="1" applyBorder="1" applyAlignment="1" applyProtection="1">
      <alignment horizontal="centerContinuous" vertical="center"/>
      <protection/>
    </xf>
    <xf numFmtId="174" fontId="0" fillId="0" borderId="0" xfId="93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74" fontId="31" fillId="0" borderId="50" xfId="93" applyFont="1" applyBorder="1" applyAlignment="1" applyProtection="1">
      <alignment vertical="center"/>
      <protection/>
    </xf>
    <xf numFmtId="173" fontId="0" fillId="0" borderId="43" xfId="93" applyNumberFormat="1" applyFont="1" applyBorder="1" applyAlignment="1" applyProtection="1">
      <alignment horizontal="centerContinuous" vertical="center"/>
      <protection/>
    </xf>
    <xf numFmtId="173" fontId="0" fillId="0" borderId="29" xfId="93" applyNumberFormat="1" applyFont="1" applyBorder="1" applyAlignment="1" applyProtection="1">
      <alignment horizontal="centerContinuous" vertical="center"/>
      <protection/>
    </xf>
    <xf numFmtId="173" fontId="0" fillId="0" borderId="25" xfId="93" applyNumberFormat="1" applyFont="1" applyBorder="1" applyAlignment="1" applyProtection="1">
      <alignment horizontal="centerContinuous" vertical="center"/>
      <protection/>
    </xf>
    <xf numFmtId="174" fontId="0" fillId="0" borderId="44" xfId="93" applyFont="1" applyBorder="1" applyAlignment="1" applyProtection="1">
      <alignment vertical="center"/>
      <protection/>
    </xf>
    <xf numFmtId="174" fontId="0" fillId="0" borderId="38" xfId="93" applyFont="1" applyBorder="1" applyAlignment="1" applyProtection="1">
      <alignment vertical="center"/>
      <protection/>
    </xf>
    <xf numFmtId="174" fontId="31" fillId="0" borderId="31" xfId="93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70" fontId="1" fillId="0" borderId="39" xfId="93" applyNumberFormat="1" applyFont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6" fillId="0" borderId="0" xfId="0" applyFont="1" applyFill="1" applyAlignment="1">
      <alignment/>
    </xf>
    <xf numFmtId="174" fontId="0" fillId="0" borderId="34" xfId="93" applyFont="1" applyBorder="1" applyAlignment="1" applyProtection="1">
      <alignment horizontal="center" vertical="center"/>
      <protection/>
    </xf>
    <xf numFmtId="174" fontId="0" fillId="0" borderId="21" xfId="93" applyFont="1" applyBorder="1" applyAlignment="1" applyProtection="1">
      <alignment horizontal="center" vertical="center"/>
      <protection/>
    </xf>
    <xf numFmtId="174" fontId="0" fillId="0" borderId="36" xfId="93" applyFont="1" applyBorder="1" applyAlignment="1" applyProtection="1">
      <alignment horizontal="center" vertical="center"/>
      <protection/>
    </xf>
    <xf numFmtId="2" fontId="0" fillId="46" borderId="22" xfId="93" applyNumberFormat="1" applyFont="1" applyFill="1" applyBorder="1" applyAlignment="1" applyProtection="1" quotePrefix="1">
      <alignment horizontal="center" vertical="center"/>
      <protection locked="0"/>
    </xf>
    <xf numFmtId="172" fontId="0" fillId="46" borderId="66" xfId="93" applyNumberFormat="1" applyFont="1" applyFill="1" applyBorder="1" applyAlignment="1" applyProtection="1">
      <alignment vertical="center"/>
      <protection locked="0"/>
    </xf>
    <xf numFmtId="174" fontId="0" fillId="0" borderId="22" xfId="93" applyFont="1" applyBorder="1" applyAlignment="1" applyProtection="1">
      <alignment horizontal="right" vertical="center"/>
      <protection/>
    </xf>
    <xf numFmtId="1" fontId="24" fillId="0" borderId="22" xfId="93" applyNumberFormat="1" applyFont="1" applyBorder="1" applyAlignment="1" applyProtection="1">
      <alignment horizontal="right" vertical="center"/>
      <protection/>
    </xf>
    <xf numFmtId="2" fontId="0" fillId="0" borderId="22" xfId="93" applyNumberFormat="1" applyFont="1" applyBorder="1" applyAlignment="1" applyProtection="1">
      <alignment horizontal="right" vertical="center"/>
      <protection/>
    </xf>
    <xf numFmtId="174" fontId="45" fillId="0" borderId="0" xfId="93" applyFont="1" applyAlignment="1" applyProtection="1">
      <alignment horizontal="right" vertical="center"/>
      <protection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170" fontId="59" fillId="0" borderId="0" xfId="93" applyNumberFormat="1" applyFont="1" applyAlignment="1" applyProtection="1">
      <alignment horizontal="left" vertical="center"/>
      <protection/>
    </xf>
    <xf numFmtId="174" fontId="60" fillId="0" borderId="0" xfId="93" applyFont="1" applyBorder="1" applyAlignment="1" applyProtection="1">
      <alignment vertical="center"/>
      <protection/>
    </xf>
    <xf numFmtId="174" fontId="61" fillId="0" borderId="0" xfId="93" applyFont="1" applyAlignment="1" applyProtection="1">
      <alignment vertical="center"/>
      <protection/>
    </xf>
    <xf numFmtId="174" fontId="60" fillId="0" borderId="0" xfId="93" applyFont="1" applyAlignment="1" applyProtection="1">
      <alignment vertical="center"/>
      <protection/>
    </xf>
    <xf numFmtId="174" fontId="60" fillId="0" borderId="0" xfId="93" applyFont="1" applyAlignment="1" applyProtection="1">
      <alignment horizontal="right" vertical="center"/>
      <protection/>
    </xf>
    <xf numFmtId="191" fontId="61" fillId="0" borderId="0" xfId="93" applyNumberFormat="1" applyFont="1" applyAlignment="1" applyProtection="1">
      <alignment vertical="center"/>
      <protection/>
    </xf>
    <xf numFmtId="3" fontId="24" fillId="0" borderId="22" xfId="93" applyNumberFormat="1" applyFont="1" applyBorder="1" applyAlignment="1" applyProtection="1">
      <alignment horizontal="right" vertical="center"/>
      <protection/>
    </xf>
    <xf numFmtId="172" fontId="0" fillId="0" borderId="38" xfId="93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74" fontId="0" fillId="55" borderId="0" xfId="93" applyFont="1" applyFill="1" applyAlignment="1" applyProtection="1">
      <alignment vertical="center"/>
      <protection/>
    </xf>
    <xf numFmtId="174" fontId="44" fillId="55" borderId="0" xfId="93" applyFont="1" applyFill="1" applyAlignment="1" applyProtection="1">
      <alignment vertical="center"/>
      <protection/>
    </xf>
    <xf numFmtId="170" fontId="22" fillId="55" borderId="0" xfId="93" applyNumberFormat="1" applyFont="1" applyFill="1" applyBorder="1" applyAlignment="1" applyProtection="1">
      <alignment vertical="center"/>
      <protection/>
    </xf>
    <xf numFmtId="170" fontId="22" fillId="55" borderId="23" xfId="93" applyNumberFormat="1" applyFont="1" applyFill="1" applyBorder="1" applyAlignment="1" applyProtection="1">
      <alignment vertical="center"/>
      <protection/>
    </xf>
    <xf numFmtId="174" fontId="0" fillId="55" borderId="23" xfId="93" applyFont="1" applyFill="1" applyBorder="1" applyAlignment="1" applyProtection="1">
      <alignment vertical="center"/>
      <protection/>
    </xf>
    <xf numFmtId="174" fontId="22" fillId="55" borderId="23" xfId="93" applyFont="1" applyFill="1" applyBorder="1" applyAlignment="1" applyProtection="1">
      <alignment vertical="center"/>
      <protection/>
    </xf>
    <xf numFmtId="174" fontId="27" fillId="55" borderId="23" xfId="93" applyFont="1" applyFill="1" applyBorder="1" applyAlignment="1" applyProtection="1">
      <alignment vertical="center"/>
      <protection/>
    </xf>
    <xf numFmtId="174" fontId="22" fillId="55" borderId="0" xfId="93" applyFont="1" applyFill="1" applyBorder="1" applyAlignment="1" applyProtection="1">
      <alignment vertical="center"/>
      <protection/>
    </xf>
    <xf numFmtId="174" fontId="27" fillId="55" borderId="0" xfId="93" applyFont="1" applyFill="1" applyBorder="1" applyAlignment="1" applyProtection="1">
      <alignment vertical="center"/>
      <protection/>
    </xf>
    <xf numFmtId="0" fontId="0" fillId="55" borderId="0" xfId="0" applyFont="1" applyFill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left"/>
      <protection/>
    </xf>
    <xf numFmtId="0" fontId="0" fillId="55" borderId="0" xfId="0" applyFill="1" applyAlignment="1">
      <alignment/>
    </xf>
    <xf numFmtId="174" fontId="25" fillId="55" borderId="0" xfId="93" applyFont="1" applyFill="1" applyAlignment="1" applyProtection="1">
      <alignment vertical="center"/>
      <protection/>
    </xf>
    <xf numFmtId="0" fontId="0" fillId="55" borderId="0" xfId="0" applyFont="1" applyFill="1" applyAlignment="1">
      <alignment/>
    </xf>
    <xf numFmtId="170" fontId="0" fillId="55" borderId="25" xfId="93" applyNumberFormat="1" applyFont="1" applyFill="1" applyBorder="1" applyAlignment="1" applyProtection="1">
      <alignment horizontal="right" vertical="center"/>
      <protection/>
    </xf>
    <xf numFmtId="3" fontId="0" fillId="55" borderId="22" xfId="0" applyNumberFormat="1" applyFill="1" applyBorder="1" applyAlignment="1">
      <alignment horizontal="center"/>
    </xf>
    <xf numFmtId="3" fontId="0" fillId="46" borderId="22" xfId="93" applyNumberFormat="1" applyFont="1" applyFill="1" applyBorder="1" applyAlignment="1" applyProtection="1">
      <alignment horizontal="center" vertical="center"/>
      <protection locked="0"/>
    </xf>
    <xf numFmtId="3" fontId="0" fillId="55" borderId="22" xfId="0" applyNumberFormat="1" applyFont="1" applyFill="1" applyBorder="1" applyAlignment="1">
      <alignment horizontal="center"/>
    </xf>
    <xf numFmtId="0" fontId="0" fillId="55" borderId="0" xfId="0" applyFont="1" applyFill="1" applyAlignment="1">
      <alignment/>
    </xf>
    <xf numFmtId="174" fontId="0" fillId="55" borderId="0" xfId="93" applyFont="1" applyFill="1" applyAlignment="1" applyProtection="1">
      <alignment vertical="center"/>
      <protection/>
    </xf>
    <xf numFmtId="0" fontId="0" fillId="55" borderId="0" xfId="0" applyFill="1" applyAlignment="1">
      <alignment/>
    </xf>
    <xf numFmtId="3" fontId="0" fillId="55" borderId="22" xfId="93" applyNumberFormat="1" applyFont="1" applyFill="1" applyBorder="1" applyAlignment="1" applyProtection="1">
      <alignment horizontal="center" vertical="center"/>
      <protection/>
    </xf>
    <xf numFmtId="174" fontId="0" fillId="55" borderId="0" xfId="93" applyFont="1" applyFill="1" applyAlignment="1" applyProtection="1">
      <alignment horizontal="center" vertical="center"/>
      <protection/>
    </xf>
    <xf numFmtId="170" fontId="25" fillId="55" borderId="0" xfId="93" applyNumberFormat="1" applyFont="1" applyFill="1" applyAlignment="1" applyProtection="1">
      <alignment horizontal="left" vertical="center"/>
      <protection/>
    </xf>
    <xf numFmtId="0" fontId="0" fillId="55" borderId="0" xfId="0" applyFill="1" applyAlignment="1">
      <alignment horizontal="center"/>
    </xf>
    <xf numFmtId="0" fontId="24" fillId="55" borderId="0" xfId="0" applyFont="1" applyFill="1" applyAlignment="1">
      <alignment horizontal="center"/>
    </xf>
    <xf numFmtId="3" fontId="0" fillId="55" borderId="0" xfId="0" applyNumberFormat="1" applyFill="1" applyAlignment="1">
      <alignment horizontal="center"/>
    </xf>
    <xf numFmtId="203" fontId="24" fillId="55" borderId="76" xfId="0" applyNumberFormat="1" applyFont="1" applyFill="1" applyBorder="1" applyAlignment="1">
      <alignment horizontal="center"/>
    </xf>
    <xf numFmtId="0" fontId="45" fillId="55" borderId="0" xfId="0" applyFont="1" applyFill="1" applyAlignment="1">
      <alignment/>
    </xf>
    <xf numFmtId="174" fontId="24" fillId="55" borderId="0" xfId="93" applyFont="1" applyFill="1" applyAlignment="1" applyProtection="1">
      <alignment vertical="center"/>
      <protection/>
    </xf>
    <xf numFmtId="174" fontId="31" fillId="55" borderId="0" xfId="93" applyFont="1" applyFill="1" applyAlignment="1" applyProtection="1">
      <alignment vertical="center"/>
      <protection/>
    </xf>
    <xf numFmtId="181" fontId="0" fillId="0" borderId="0" xfId="93" applyNumberFormat="1" applyFont="1" applyFill="1" applyBorder="1" applyAlignment="1" applyProtection="1" quotePrefix="1">
      <alignment horizontal="center" vertical="center"/>
      <protection/>
    </xf>
    <xf numFmtId="1" fontId="29" fillId="0" borderId="0" xfId="93" applyNumberFormat="1" applyFont="1" applyBorder="1" applyAlignment="1" applyProtection="1">
      <alignment vertical="center"/>
      <protection/>
    </xf>
    <xf numFmtId="174" fontId="32" fillId="0" borderId="0" xfId="93" applyFont="1" applyFill="1" applyAlignment="1" applyProtection="1">
      <alignment vertical="center"/>
      <protection/>
    </xf>
    <xf numFmtId="172" fontId="0" fillId="0" borderId="0" xfId="93" applyNumberFormat="1" applyFont="1" applyFill="1" applyBorder="1" applyAlignment="1" applyProtection="1">
      <alignment vertical="center"/>
      <protection locked="0"/>
    </xf>
    <xf numFmtId="172" fontId="24" fillId="0" borderId="0" xfId="93" applyNumberFormat="1" applyFont="1" applyBorder="1" applyAlignment="1" applyProtection="1">
      <alignment horizontal="centerContinuous" vertical="center"/>
      <protection/>
    </xf>
    <xf numFmtId="170" fontId="24" fillId="0" borderId="41" xfId="93" applyNumberFormat="1" applyFont="1" applyBorder="1" applyAlignment="1" applyProtection="1">
      <alignment horizontal="centerContinuous" vertical="center"/>
      <protection/>
    </xf>
    <xf numFmtId="174" fontId="28" fillId="0" borderId="41" xfId="93" applyFont="1" applyBorder="1" applyAlignment="1" applyProtection="1">
      <alignment horizontal="centerContinuous" vertical="center"/>
      <protection/>
    </xf>
    <xf numFmtId="170" fontId="33" fillId="0" borderId="24" xfId="93" applyNumberFormat="1" applyFont="1" applyBorder="1" applyAlignment="1" applyProtection="1">
      <alignment horizontal="centerContinuous" vertical="center"/>
      <protection/>
    </xf>
    <xf numFmtId="174" fontId="40" fillId="0" borderId="24" xfId="93" applyFont="1" applyBorder="1" applyAlignment="1" applyProtection="1">
      <alignment horizontal="centerContinuous" vertical="center"/>
      <protection/>
    </xf>
    <xf numFmtId="170" fontId="24" fillId="0" borderId="24" xfId="93" applyNumberFormat="1" applyFont="1" applyBorder="1" applyAlignment="1" applyProtection="1">
      <alignment horizontal="centerContinuous" vertical="center"/>
      <protection/>
    </xf>
    <xf numFmtId="190" fontId="0" fillId="0" borderId="0" xfId="93" applyNumberFormat="1" applyFont="1" applyBorder="1" applyAlignment="1" applyProtection="1">
      <alignment horizontal="right" vertical="center"/>
      <protection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 vertical="center"/>
    </xf>
    <xf numFmtId="170" fontId="24" fillId="0" borderId="29" xfId="93" applyNumberFormat="1" applyFont="1" applyBorder="1" applyAlignment="1" applyProtection="1">
      <alignment horizontal="centerContinuous" vertical="center"/>
      <protection/>
    </xf>
    <xf numFmtId="171" fontId="62" fillId="0" borderId="31" xfId="93" applyNumberFormat="1" applyFont="1" applyBorder="1" applyAlignment="1" applyProtection="1" quotePrefix="1">
      <alignment horizontal="centerContinuous" vertical="center"/>
      <protection/>
    </xf>
    <xf numFmtId="174" fontId="62" fillId="0" borderId="43" xfId="93" applyFont="1" applyBorder="1" applyAlignment="1" applyProtection="1">
      <alignment horizontal="centerContinuous" vertical="center"/>
      <protection/>
    </xf>
    <xf numFmtId="170" fontId="62" fillId="0" borderId="31" xfId="93" applyNumberFormat="1" applyFont="1" applyBorder="1" applyAlignment="1" applyProtection="1" quotePrefix="1">
      <alignment horizontal="centerContinuous" vertical="center"/>
      <protection/>
    </xf>
    <xf numFmtId="174" fontId="1" fillId="0" borderId="43" xfId="93" applyFont="1" applyBorder="1" applyAlignment="1" applyProtection="1">
      <alignment horizontal="centerContinuous" vertical="center"/>
      <protection/>
    </xf>
    <xf numFmtId="174" fontId="1" fillId="0" borderId="24" xfId="93" applyFont="1" applyBorder="1" applyAlignment="1" applyProtection="1">
      <alignment horizontal="centerContinuous" vertical="center"/>
      <protection/>
    </xf>
    <xf numFmtId="170" fontId="62" fillId="0" borderId="44" xfId="93" applyNumberFormat="1" applyFont="1" applyBorder="1" applyAlignment="1" applyProtection="1" quotePrefix="1">
      <alignment horizontal="centerContinuous" vertical="center"/>
      <protection/>
    </xf>
    <xf numFmtId="174" fontId="1" fillId="0" borderId="54" xfId="93" applyFont="1" applyBorder="1" applyAlignment="1" applyProtection="1">
      <alignment horizontal="centerContinuous" vertical="center"/>
      <protection/>
    </xf>
    <xf numFmtId="190" fontId="0" fillId="46" borderId="34" xfId="93" applyNumberFormat="1" applyFont="1" applyFill="1" applyBorder="1" applyAlignment="1" applyProtection="1">
      <alignment/>
      <protection locked="0"/>
    </xf>
    <xf numFmtId="174" fontId="46" fillId="0" borderId="0" xfId="93" applyNumberFormat="1" applyFont="1" applyFill="1" applyBorder="1" applyAlignment="1" applyProtection="1">
      <alignment vertical="center"/>
      <protection/>
    </xf>
    <xf numFmtId="172" fontId="24" fillId="0" borderId="0" xfId="93" applyNumberFormat="1" applyFont="1" applyFill="1" applyBorder="1" applyAlignment="1" applyProtection="1">
      <alignment horizontal="centerContinuous" vertical="center"/>
      <protection/>
    </xf>
    <xf numFmtId="172" fontId="0" fillId="46" borderId="51" xfId="93" applyNumberFormat="1" applyFont="1" applyFill="1" applyBorder="1" applyAlignment="1" applyProtection="1">
      <alignment vertical="center"/>
      <protection locked="0"/>
    </xf>
    <xf numFmtId="172" fontId="0" fillId="46" borderId="47" xfId="93" applyNumberFormat="1" applyFont="1" applyFill="1" applyBorder="1" applyAlignment="1" applyProtection="1">
      <alignment vertical="center"/>
      <protection locked="0"/>
    </xf>
    <xf numFmtId="172" fontId="0" fillId="46" borderId="52" xfId="93" applyNumberFormat="1" applyFont="1" applyFill="1" applyBorder="1" applyAlignment="1" applyProtection="1">
      <alignment vertical="center"/>
      <protection locked="0"/>
    </xf>
    <xf numFmtId="172" fontId="0" fillId="46" borderId="40" xfId="93" applyNumberFormat="1" applyFont="1" applyFill="1" applyBorder="1" applyAlignment="1" applyProtection="1">
      <alignment vertical="center"/>
      <protection locked="0"/>
    </xf>
    <xf numFmtId="172" fontId="0" fillId="46" borderId="35" xfId="93" applyNumberFormat="1" applyFont="1" applyFill="1" applyBorder="1" applyAlignment="1" applyProtection="1">
      <alignment vertical="center"/>
      <protection locked="0"/>
    </xf>
    <xf numFmtId="174" fontId="60" fillId="0" borderId="0" xfId="93" applyFont="1" applyAlignment="1" applyProtection="1">
      <alignment horizontal="left" vertical="center"/>
      <protection/>
    </xf>
    <xf numFmtId="174" fontId="61" fillId="0" borderId="0" xfId="93" applyFont="1" applyAlignment="1" applyProtection="1">
      <alignment horizontal="right" vertical="center"/>
      <protection/>
    </xf>
    <xf numFmtId="174" fontId="60" fillId="0" borderId="0" xfId="93" applyFont="1" applyAlignment="1" applyProtection="1">
      <alignment horizontal="right" vertical="center"/>
      <protection/>
    </xf>
    <xf numFmtId="174" fontId="61" fillId="0" borderId="0" xfId="93" applyFont="1" applyAlignment="1" applyProtection="1">
      <alignment horizontal="left" vertical="center"/>
      <protection/>
    </xf>
    <xf numFmtId="174" fontId="61" fillId="0" borderId="0" xfId="93" applyFont="1" applyAlignment="1" applyProtection="1">
      <alignment horizontal="centerContinuous" vertical="center"/>
      <protection/>
    </xf>
    <xf numFmtId="174" fontId="61" fillId="0" borderId="0" xfId="93" applyFont="1" applyAlignment="1" applyProtection="1">
      <alignment horizontal="center" vertical="center"/>
      <protection/>
    </xf>
    <xf numFmtId="172" fontId="0" fillId="0" borderId="28" xfId="93" applyNumberFormat="1" applyFont="1" applyFill="1" applyBorder="1" applyAlignment="1" applyProtection="1">
      <alignment vertical="center"/>
      <protection/>
    </xf>
    <xf numFmtId="172" fontId="0" fillId="0" borderId="30" xfId="93" applyNumberFormat="1" applyFont="1" applyFill="1" applyBorder="1" applyAlignment="1" applyProtection="1">
      <alignment vertical="center"/>
      <protection/>
    </xf>
    <xf numFmtId="172" fontId="24" fillId="0" borderId="38" xfId="93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 quotePrefix="1">
      <alignment/>
    </xf>
    <xf numFmtId="0" fontId="63" fillId="0" borderId="0" xfId="0" applyFont="1" applyAlignment="1">
      <alignment/>
    </xf>
    <xf numFmtId="170" fontId="0" fillId="0" borderId="0" xfId="93" applyNumberFormat="1" applyFont="1" applyFill="1" applyBorder="1" applyAlignment="1" applyProtection="1">
      <alignment horizontal="left" vertical="center"/>
      <protection hidden="1"/>
    </xf>
    <xf numFmtId="170" fontId="0" fillId="0" borderId="0" xfId="93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>
      <alignment/>
    </xf>
    <xf numFmtId="0" fontId="45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45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1" fontId="0" fillId="0" borderId="0" xfId="93" applyNumberFormat="1" applyFont="1" applyBorder="1" applyAlignment="1" applyProtection="1">
      <alignment horizontal="left" vertical="center"/>
      <protection/>
    </xf>
    <xf numFmtId="0" fontId="0" fillId="10" borderId="48" xfId="0" applyFont="1" applyFill="1" applyBorder="1" applyAlignment="1" applyProtection="1">
      <alignment horizontal="left"/>
      <protection locked="0"/>
    </xf>
    <xf numFmtId="187" fontId="0" fillId="10" borderId="48" xfId="0" applyNumberFormat="1" applyFont="1" applyFill="1" applyBorder="1" applyAlignment="1" applyProtection="1">
      <alignment horizontal="left"/>
      <protection locked="0"/>
    </xf>
    <xf numFmtId="0" fontId="0" fillId="10" borderId="52" xfId="93" applyNumberFormat="1" applyFont="1" applyFill="1" applyBorder="1" applyAlignment="1" applyProtection="1">
      <alignment vertical="center"/>
      <protection locked="0"/>
    </xf>
    <xf numFmtId="0" fontId="0" fillId="0" borderId="53" xfId="0" applyBorder="1" applyAlignment="1">
      <alignment vertical="center"/>
    </xf>
    <xf numFmtId="0" fontId="0" fillId="10" borderId="47" xfId="93" applyNumberFormat="1" applyFont="1" applyFill="1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0" fillId="0" borderId="47" xfId="93" applyNumberFormat="1" applyFont="1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10" borderId="53" xfId="93" applyNumberFormat="1" applyFont="1" applyFill="1" applyBorder="1" applyAlignment="1" applyProtection="1">
      <alignment vertical="center"/>
      <protection locked="0"/>
    </xf>
    <xf numFmtId="0" fontId="0" fillId="0" borderId="51" xfId="93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10" borderId="48" xfId="93" applyNumberFormat="1" applyFont="1" applyFill="1" applyBorder="1" applyAlignment="1" applyProtection="1">
      <alignment vertical="center"/>
      <protection locked="0"/>
    </xf>
    <xf numFmtId="174" fontId="32" fillId="0" borderId="0" xfId="93" applyFont="1" applyAlignment="1" applyProtection="1">
      <alignment horizontal="left"/>
      <protection/>
    </xf>
    <xf numFmtId="174" fontId="0" fillId="0" borderId="0" xfId="93" applyFont="1" applyAlignment="1" applyProtection="1">
      <alignment horizontal="left"/>
      <protection/>
    </xf>
    <xf numFmtId="174" fontId="0" fillId="0" borderId="0" xfId="93" applyFont="1" applyAlignment="1" applyProtection="1">
      <alignment/>
      <protection/>
    </xf>
    <xf numFmtId="49" fontId="32" fillId="55" borderId="0" xfId="93" applyNumberFormat="1" applyFont="1" applyFill="1" applyBorder="1" applyAlignment="1" applyProtection="1">
      <alignment vertical="center"/>
      <protection/>
    </xf>
    <xf numFmtId="49" fontId="32" fillId="55" borderId="0" xfId="93" applyNumberFormat="1" applyFont="1" applyFill="1" applyAlignment="1" applyProtection="1">
      <alignment vertical="center"/>
      <protection/>
    </xf>
    <xf numFmtId="174" fontId="24" fillId="0" borderId="27" xfId="93" applyFont="1" applyBorder="1" applyAlignment="1">
      <alignment horizontal="center"/>
      <protection/>
    </xf>
    <xf numFmtId="174" fontId="24" fillId="0" borderId="42" xfId="93" applyFont="1" applyBorder="1" applyAlignment="1">
      <alignment horizontal="center"/>
      <protection/>
    </xf>
    <xf numFmtId="174" fontId="24" fillId="0" borderId="29" xfId="93" applyFont="1" applyBorder="1" applyAlignment="1">
      <alignment horizontal="center"/>
      <protection/>
    </xf>
    <xf numFmtId="174" fontId="0" fillId="0" borderId="25" xfId="93" applyFont="1" applyBorder="1" applyAlignment="1">
      <alignment horizontal="center"/>
      <protection/>
    </xf>
  </cellXfs>
  <cellStyles count="9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Avertissement" xfId="64"/>
    <cellStyle name="Berechnung" xfId="65"/>
    <cellStyle name="Followed Hyperlink" xfId="66"/>
    <cellStyle name="Calcul" xfId="67"/>
    <cellStyle name="Cellule liée" xfId="68"/>
    <cellStyle name="Commentaire" xfId="69"/>
    <cellStyle name="dbkatalog" xfId="70"/>
    <cellStyle name="DB-Katalog" xfId="71"/>
    <cellStyle name="Comma [0]" xfId="72"/>
    <cellStyle name="Eingabe" xfId="73"/>
    <cellStyle name="Entrée" xfId="74"/>
    <cellStyle name="Ergebnis" xfId="75"/>
    <cellStyle name="Erklärender Text" xfId="76"/>
    <cellStyle name="Gut" xfId="77"/>
    <cellStyle name="Insatisfaisant" xfId="78"/>
    <cellStyle name="Comma" xfId="79"/>
    <cellStyle name="Lien hypertexte" xfId="80"/>
    <cellStyle name="Lien hypertexte visité" xfId="81"/>
    <cellStyle name="Hyperlink" xfId="82"/>
    <cellStyle name="Neutral" xfId="83"/>
    <cellStyle name="Neutre" xfId="84"/>
    <cellStyle name="Normal 2" xfId="85"/>
    <cellStyle name="Normal 3" xfId="86"/>
    <cellStyle name="Normal_AAdossier03" xfId="87"/>
    <cellStyle name="Notiz" xfId="88"/>
    <cellStyle name="Percent" xfId="89"/>
    <cellStyle name="Satisfaisant" xfId="90"/>
    <cellStyle name="Schlecht" xfId="91"/>
    <cellStyle name="Sortie" xfId="92"/>
    <cellStyle name="Standard_Suisse-Bilanz 20131" xfId="93"/>
    <cellStyle name="Texte explicatif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Überschrift" xfId="101"/>
    <cellStyle name="Überschrift 1" xfId="102"/>
    <cellStyle name="Überschrift 2" xfId="103"/>
    <cellStyle name="Überschrift 3" xfId="104"/>
    <cellStyle name="Überschrift 4" xfId="105"/>
    <cellStyle name="Vérification" xfId="106"/>
    <cellStyle name="Verknüpfte Zelle" xfId="107"/>
    <cellStyle name="Currency" xfId="108"/>
    <cellStyle name="Currency [0]" xfId="109"/>
    <cellStyle name="Warnender Text" xfId="110"/>
    <cellStyle name="Zelle überprüfen" xfId="111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28575</xdr:colOff>
      <xdr:row>48</xdr:row>
      <xdr:rowOff>19050</xdr:rowOff>
    </xdr:from>
    <xdr:to>
      <xdr:col>22</xdr:col>
      <xdr:colOff>133350</xdr:colOff>
      <xdr:row>93</xdr:row>
      <xdr:rowOff>114300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8124825"/>
          <a:ext cx="5638800" cy="7381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76200</xdr:colOff>
      <xdr:row>48</xdr:row>
      <xdr:rowOff>28575</xdr:rowOff>
    </xdr:from>
    <xdr:to>
      <xdr:col>31</xdr:col>
      <xdr:colOff>581025</xdr:colOff>
      <xdr:row>94</xdr:row>
      <xdr:rowOff>133350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11125" y="8134350"/>
          <a:ext cx="5838825" cy="7553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742950</xdr:colOff>
      <xdr:row>0</xdr:row>
      <xdr:rowOff>28575</xdr:rowOff>
    </xdr:from>
    <xdr:to>
      <xdr:col>24</xdr:col>
      <xdr:colOff>76200</xdr:colOff>
      <xdr:row>48</xdr:row>
      <xdr:rowOff>85725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4"/>
        <a:srcRect r="520"/>
        <a:stretch>
          <a:fillRect/>
        </a:stretch>
      </xdr:blipFill>
      <xdr:spPr>
        <a:xfrm>
          <a:off x="6048375" y="28575"/>
          <a:ext cx="6762750" cy="816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85725</xdr:colOff>
      <xdr:row>0</xdr:row>
      <xdr:rowOff>85725</xdr:rowOff>
    </xdr:from>
    <xdr:to>
      <xdr:col>33</xdr:col>
      <xdr:colOff>133350</xdr:colOff>
      <xdr:row>48</xdr:row>
      <xdr:rowOff>133350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5"/>
        <a:srcRect t="433" b="1300"/>
        <a:stretch>
          <a:fillRect/>
        </a:stretch>
      </xdr:blipFill>
      <xdr:spPr>
        <a:xfrm>
          <a:off x="12820650" y="85725"/>
          <a:ext cx="6905625" cy="815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733425</xdr:colOff>
      <xdr:row>137</xdr:row>
      <xdr:rowOff>123825</xdr:rowOff>
    </xdr:from>
    <xdr:ext cx="666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1868150" y="227647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1</xdr:row>
      <xdr:rowOff>85725</xdr:rowOff>
    </xdr:from>
    <xdr:to>
      <xdr:col>2</xdr:col>
      <xdr:colOff>228600</xdr:colOff>
      <xdr:row>2</xdr:row>
      <xdr:rowOff>247650</xdr:rowOff>
    </xdr:to>
    <xdr:pic>
      <xdr:nvPicPr>
        <xdr:cNvPr id="2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showZeros="0" tabSelected="1" zoomScalePageLayoutView="0" workbookViewId="0" topLeftCell="A1">
      <selection activeCell="C9" sqref="C9"/>
    </sheetView>
  </sheetViews>
  <sheetFormatPr defaultColWidth="11.421875" defaultRowHeight="12.75" outlineLevelRow="12"/>
  <cols>
    <col min="1" max="1" width="1.7109375" style="134" customWidth="1"/>
    <col min="2" max="2" width="22.8515625" style="134" customWidth="1"/>
    <col min="3" max="3" width="14.57421875" style="134" customWidth="1"/>
    <col min="4" max="4" width="29.28125" style="134" customWidth="1"/>
    <col min="5" max="5" width="6.8515625" style="134" customWidth="1"/>
    <col min="6" max="6" width="4.28125" style="134" customWidth="1"/>
    <col min="7" max="7" width="11.28125" style="134" customWidth="1"/>
    <col min="8" max="8" width="0.85546875" style="134" customWidth="1"/>
    <col min="9" max="9" width="6.8515625" style="134" hidden="1" customWidth="1"/>
    <col min="10" max="15" width="0" style="134" hidden="1" customWidth="1"/>
    <col min="16" max="21" width="11.421875" style="134" customWidth="1"/>
    <col min="22" max="22" width="13.57421875" style="134" customWidth="1"/>
    <col min="23" max="23" width="11.421875" style="134" customWidth="1"/>
    <col min="24" max="24" width="5.7109375" style="134" customWidth="1"/>
    <col min="25" max="16384" width="11.421875" style="134" customWidth="1"/>
  </cols>
  <sheetData>
    <row r="1" spans="7:12" ht="21" customHeight="1">
      <c r="G1" s="95" t="str">
        <f>Texte!A6</f>
        <v>Version: 1.3</v>
      </c>
      <c r="L1" s="455" t="s">
        <v>184</v>
      </c>
    </row>
    <row r="2" spans="1:8" ht="21" customHeight="1">
      <c r="A2" s="9"/>
      <c r="B2" s="8"/>
      <c r="C2" s="135" t="str">
        <f>Texte!A4</f>
        <v>Anleitung</v>
      </c>
      <c r="G2" s="94" t="str">
        <f>Texte!A5</f>
        <v>GMF</v>
      </c>
      <c r="H2" s="9"/>
    </row>
    <row r="3" spans="1:8" ht="7.5" customHeight="1" thickBot="1">
      <c r="A3" s="9"/>
      <c r="B3" s="10"/>
      <c r="C3" s="10"/>
      <c r="D3" s="10"/>
      <c r="E3" s="10"/>
      <c r="F3" s="10"/>
      <c r="G3" s="10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9" ht="12.75">
      <c r="A5" s="9"/>
      <c r="B5" s="9" t="s">
        <v>908</v>
      </c>
      <c r="C5" s="9"/>
      <c r="D5" s="9"/>
      <c r="E5" s="9"/>
      <c r="F5" s="9"/>
      <c r="G5" s="9"/>
      <c r="H5" s="9"/>
      <c r="I5" s="9"/>
    </row>
    <row r="6" spans="1:15" ht="12.75" customHeight="1">
      <c r="A6" s="9"/>
      <c r="B6" s="9" t="s">
        <v>910</v>
      </c>
      <c r="D6" s="11"/>
      <c r="E6" s="11"/>
      <c r="F6" s="11"/>
      <c r="G6" s="12"/>
      <c r="H6" s="13"/>
      <c r="N6" s="136" t="s">
        <v>1136</v>
      </c>
      <c r="O6" s="136"/>
    </row>
    <row r="7" spans="1:15" ht="12.75" customHeight="1">
      <c r="A7" s="9"/>
      <c r="B7" s="9" t="s">
        <v>909</v>
      </c>
      <c r="D7" s="11"/>
      <c r="E7" s="11"/>
      <c r="F7" s="11"/>
      <c r="G7" s="12"/>
      <c r="H7" s="13"/>
      <c r="N7" s="136"/>
      <c r="O7" s="136"/>
    </row>
    <row r="8" spans="1:15" ht="10.5" customHeight="1">
      <c r="A8" s="9"/>
      <c r="B8" s="9"/>
      <c r="C8" s="9"/>
      <c r="D8" s="9"/>
      <c r="E8" s="9"/>
      <c r="F8" s="9"/>
      <c r="G8" s="9"/>
      <c r="H8" s="9"/>
      <c r="N8" s="136"/>
      <c r="O8" s="136"/>
    </row>
    <row r="9" spans="1:15" ht="18.75">
      <c r="A9" s="9"/>
      <c r="B9" s="69" t="str">
        <f>Texte!A9</f>
        <v>Sprache:</v>
      </c>
      <c r="C9" s="446" t="s">
        <v>1133</v>
      </c>
      <c r="F9" s="9"/>
      <c r="G9" s="12"/>
      <c r="H9" s="13"/>
      <c r="N9" s="136" t="s">
        <v>1133</v>
      </c>
      <c r="O9" s="136">
        <v>1</v>
      </c>
    </row>
    <row r="10" spans="1:15" ht="18.75">
      <c r="A10" s="9"/>
      <c r="B10" s="9"/>
      <c r="C10" s="9"/>
      <c r="D10" s="9"/>
      <c r="E10" s="9"/>
      <c r="F10" s="9"/>
      <c r="G10" s="12"/>
      <c r="H10" s="13"/>
      <c r="N10" s="136" t="s">
        <v>1134</v>
      </c>
      <c r="O10" s="136">
        <v>2</v>
      </c>
    </row>
    <row r="11" spans="2:15" ht="15.75">
      <c r="B11" s="137" t="str">
        <f>Texte!A10</f>
        <v>Anleitung</v>
      </c>
      <c r="C11" s="137"/>
      <c r="N11" s="136" t="s">
        <v>1135</v>
      </c>
      <c r="O11" s="136">
        <v>3</v>
      </c>
    </row>
    <row r="12" spans="2:3" ht="12.75">
      <c r="B12" s="72" t="str">
        <f>Texte!A11</f>
        <v>grüne Zellen:</v>
      </c>
      <c r="C12" s="134" t="str">
        <f>Texte!A14</f>
        <v>Auswahllisten</v>
      </c>
    </row>
    <row r="13" spans="2:3" ht="12.75">
      <c r="B13" s="73" t="str">
        <f>Texte!A12</f>
        <v>gelbe Zeilen:</v>
      </c>
      <c r="C13" s="134" t="str">
        <f>Texte!A15</f>
        <v>zur Dateneingabe</v>
      </c>
    </row>
    <row r="14" spans="2:3" ht="12.75">
      <c r="B14" s="74" t="str">
        <f>Texte!A13</f>
        <v>weisse Zellen: </v>
      </c>
      <c r="C14" s="134" t="str">
        <f>Texte!A16</f>
        <v>gesperrte Zellen</v>
      </c>
    </row>
    <row r="15" ht="12.75"/>
    <row r="16" spans="2:3" ht="15.75">
      <c r="B16" s="137" t="str">
        <f>Texte!A17</f>
        <v>Vorgehen:</v>
      </c>
      <c r="C16" s="137"/>
    </row>
    <row r="17" spans="2:3" ht="18" customHeight="1">
      <c r="B17" s="156" t="str">
        <f>Texte!A18</f>
        <v>Grundsatz: Übereinstimmung mit Suisse-Bilanz muss sein</v>
      </c>
      <c r="C17" s="138"/>
    </row>
    <row r="18" ht="6.75" customHeight="1"/>
    <row r="19" ht="12.75">
      <c r="B19" s="154" t="str">
        <f>Texte!A19</f>
        <v>1. Betriebsangaben ausfüllen, insbesondere die "Gebietszuteilung"</v>
      </c>
    </row>
    <row r="20" ht="12.75">
      <c r="B20" s="154" t="str">
        <f>Texte!A20</f>
        <v>2. Teil A: Grund- und Kraftfutterverzehr</v>
      </c>
    </row>
    <row r="21" ht="12.75">
      <c r="B21" s="524" t="str">
        <f>Texte!A21</f>
        <v>    - Alle Tierarten mit Grundfutterverzehr erfassen</v>
      </c>
    </row>
    <row r="22" ht="12.75">
      <c r="B22" s="524" t="str">
        <f>Texte!A22</f>
        <v>    - Pro Tierkategorie die Gesamtmenge Kraftfutter, die auf</v>
      </c>
    </row>
    <row r="23" ht="12.75">
      <c r="B23" s="524" t="str">
        <f>Texte!A23</f>
        <v>      dem Ganzjahresbetrieb verfüttert wird, erfassen.</v>
      </c>
    </row>
    <row r="24" ht="12.75">
      <c r="B24" s="524" t="str">
        <f>Texte!A24</f>
        <v>    - Sömmerung: bei den Tierzahlen müssen die Anzahl gesömmerte Tiere (positiv) </v>
      </c>
    </row>
    <row r="25" ht="12.75">
      <c r="B25" s="524" t="str">
        <f>Texte!A25</f>
        <v>      und die Tage Sömmerung separat erfasst werden.</v>
      </c>
    </row>
    <row r="26" ht="12.75">
      <c r="B26" s="524" t="str">
        <f>Texte!A26</f>
        <v>    - KF-Verzehr während Sömmerung nur möglich für gemolkene Tiere folgender Kategorien: Milchkühe,</v>
      </c>
    </row>
    <row r="27" spans="2:7" ht="12.75">
      <c r="B27" s="524" t="str">
        <f>Texte!A27</f>
        <v>      Milchschafe und Ziegen. Effektive Menge eingeben.</v>
      </c>
      <c r="G27" s="634"/>
    </row>
    <row r="28" ht="12.75">
      <c r="B28" s="524" t="str">
        <f>Texte!A28</f>
        <v>    - Für Grund- und Kraftfutter während der Sömmerung gelten ebenfalls </v>
      </c>
    </row>
    <row r="29" ht="12.75">
      <c r="B29" s="524" t="str">
        <f>Texte!A29</f>
        <v>      die Definitionen gemäss Anhang 5 DZV.</v>
      </c>
    </row>
    <row r="30" ht="12.75">
      <c r="B30" s="154" t="str">
        <f>Texte!A30</f>
        <v>3. Teil B: Grundfutterproduktion</v>
      </c>
    </row>
    <row r="31" ht="12.75">
      <c r="B31" s="524" t="str">
        <f>Texte!A31</f>
        <v>    - Flächen und Erträge erfassen</v>
      </c>
    </row>
    <row r="32" ht="12.75">
      <c r="B32" s="524" t="str">
        <f>Texte!A32</f>
        <v>    - Für Wiesen und Weiden gelten Maximalwerte</v>
      </c>
    </row>
    <row r="33" ht="12.75">
      <c r="B33" s="524" t="str">
        <f>Texte!A33</f>
        <v>    - Höhere Erträge nur mit Ertragsgutachten möglich</v>
      </c>
    </row>
    <row r="34" ht="12.75">
      <c r="B34" s="524" t="str">
        <f>Texte!A34</f>
        <v>    - Erträge Zwischenkulturen max. 25 dt TS</v>
      </c>
    </row>
    <row r="35" ht="12.75">
      <c r="B35" s="154" t="str">
        <f>Texte!A39</f>
        <v>4. Teil C: Zu- und Wegfuhr Grundfutter erfassen</v>
      </c>
    </row>
    <row r="36" ht="12.75">
      <c r="B36" s="524" t="str">
        <f>Texte!A40</f>
        <v>    - Code wählen: Zu-, Verkauf, GF produziert ausserhalb der Futterfläche</v>
      </c>
    </row>
    <row r="37" ht="12.75">
      <c r="B37" s="524" t="str">
        <f>Texte!A41</f>
        <v>    - Achtung: Grundfutterbilanz muss ausgeglichen sein: Vergleich von </v>
      </c>
    </row>
    <row r="38" ht="12.75">
      <c r="B38" s="524" t="str">
        <f>Texte!A42</f>
        <v>      "B1: Grundfutterproduktion total" und "Total auf der Futterfläche </v>
      </c>
    </row>
    <row r="39" ht="12.75">
      <c r="B39" s="524" t="str">
        <f>Texte!A43</f>
        <v>      zu produzierendes Grundfutter (GFprod)"</v>
      </c>
    </row>
    <row r="40" ht="12.75">
      <c r="B40" s="154" t="str">
        <f>Texte!A44</f>
        <v>5. Teil D: Bilanz </v>
      </c>
    </row>
    <row r="41" ht="12.75">
      <c r="B41" s="524" t="str">
        <f>Texte!A45</f>
        <v>    - Abhängig von der Gebietszuteilung wird angezeigt, </v>
      </c>
    </row>
    <row r="42" ht="12.75">
      <c r="B42" s="524" t="str">
        <f>Texte!A46</f>
        <v>      ob die Mindestanteile an der Ration erfüllt sind oder nicht.</v>
      </c>
    </row>
    <row r="43" ht="12.75">
      <c r="B43" s="525" t="str">
        <f>Texte!A47</f>
        <v>      Grün=Erfüllt</v>
      </c>
    </row>
    <row r="44" ht="12.75">
      <c r="B44" s="526" t="str">
        <f>Texte!A48</f>
        <v>      Rot=Nicht erfüllt</v>
      </c>
    </row>
    <row r="45" ht="12.75">
      <c r="B45" s="154"/>
    </row>
    <row r="46" ht="12.75">
      <c r="B46" s="154"/>
    </row>
    <row r="47" ht="12.75">
      <c r="B47" s="157"/>
    </row>
    <row r="48" ht="12.75">
      <c r="B48" s="157"/>
    </row>
    <row r="49" ht="12.75">
      <c r="B49" s="157"/>
    </row>
    <row r="50" ht="12.75">
      <c r="B50" s="157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 outlineLevel="12" collapsed="1"/>
    <row r="80" ht="12.75"/>
    <row r="81" ht="12.75" outlineLevel="3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 password="98F7"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874015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48" max="23" man="1"/>
  </rowBreaks>
  <colBreaks count="1" manualBreakCount="1">
    <brk id="7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423"/>
  <sheetViews>
    <sheetView showGridLines="0" showZeros="0" zoomScalePageLayoutView="0" workbookViewId="0" topLeftCell="A1">
      <selection activeCell="C15" sqref="C15:I15"/>
    </sheetView>
  </sheetViews>
  <sheetFormatPr defaultColWidth="12.140625" defaultRowHeight="12.75"/>
  <cols>
    <col min="1" max="1" width="1.7109375" style="162" customWidth="1"/>
    <col min="2" max="2" width="18.140625" style="162" customWidth="1"/>
    <col min="3" max="3" width="10.28125" style="162" customWidth="1"/>
    <col min="4" max="4" width="3.00390625" style="162" customWidth="1"/>
    <col min="5" max="5" width="6.7109375" style="162" customWidth="1"/>
    <col min="6" max="7" width="7.421875" style="162" customWidth="1"/>
    <col min="8" max="8" width="8.421875" style="162" customWidth="1"/>
    <col min="9" max="9" width="7.28125" style="162" customWidth="1"/>
    <col min="10" max="11" width="9.28125" style="162" customWidth="1"/>
    <col min="12" max="12" width="8.57421875" style="162" customWidth="1"/>
    <col min="13" max="13" width="14.00390625" style="162" customWidth="1"/>
    <col min="14" max="14" width="7.28125" style="162" customWidth="1"/>
    <col min="15" max="15" width="7.57421875" style="162" customWidth="1"/>
    <col min="16" max="16" width="14.7109375" style="162" customWidth="1"/>
    <col min="17" max="17" width="14.28125" style="162" customWidth="1"/>
    <col min="18" max="18" width="11.57421875" style="162" customWidth="1"/>
    <col min="19" max="19" width="11.00390625" style="162" customWidth="1"/>
    <col min="20" max="20" width="5.7109375" style="162" hidden="1" customWidth="1"/>
    <col min="21" max="21" width="7.140625" style="162" hidden="1" customWidth="1"/>
    <col min="22" max="22" width="17.57421875" style="162" hidden="1" customWidth="1"/>
    <col min="23" max="23" width="28.7109375" style="162" hidden="1" customWidth="1"/>
    <col min="24" max="25" width="6.28125" style="162" hidden="1" customWidth="1"/>
    <col min="26" max="26" width="5.8515625" style="162" hidden="1" customWidth="1"/>
    <col min="27" max="27" width="19.140625" style="163" hidden="1" customWidth="1"/>
    <col min="28" max="28" width="8.8515625" style="163" hidden="1" customWidth="1"/>
    <col min="29" max="29" width="3.421875" style="163" hidden="1" customWidth="1"/>
    <col min="30" max="30" width="8.7109375" style="164" hidden="1" customWidth="1"/>
    <col min="31" max="31" width="12.00390625" style="163" hidden="1" customWidth="1"/>
    <col min="32" max="32" width="9.421875" style="163" hidden="1" customWidth="1"/>
    <col min="33" max="33" width="8.00390625" style="162" customWidth="1"/>
    <col min="34" max="36" width="8.7109375" style="165" customWidth="1"/>
    <col min="37" max="37" width="8.7109375" style="162" customWidth="1"/>
    <col min="38" max="40" width="6.421875" style="162" customWidth="1"/>
    <col min="41" max="16384" width="12.140625" style="162" customWidth="1"/>
  </cols>
  <sheetData>
    <row r="1" spans="26:36" ht="9" customHeight="1">
      <c r="Z1" s="163"/>
      <c r="AC1" s="164"/>
      <c r="AD1" s="163"/>
      <c r="AF1" s="162"/>
      <c r="AG1" s="165"/>
      <c r="AJ1" s="162"/>
    </row>
    <row r="2" spans="1:46" ht="21" customHeight="1">
      <c r="A2" s="166"/>
      <c r="D2" s="167" t="str">
        <f>Texte!A51</f>
        <v>Futterbilanz für die graslandbasierte</v>
      </c>
      <c r="L2" s="168"/>
      <c r="P2" s="169"/>
      <c r="Q2" s="169"/>
      <c r="R2" s="169" t="str">
        <f>Texte!A5</f>
        <v>GMF</v>
      </c>
      <c r="T2" s="310"/>
      <c r="U2" s="184" t="s">
        <v>603</v>
      </c>
      <c r="W2" s="184" t="s">
        <v>291</v>
      </c>
      <c r="X2" s="184" t="s">
        <v>580</v>
      </c>
      <c r="Z2" s="163"/>
      <c r="AA2" s="170"/>
      <c r="AB2" s="170"/>
      <c r="AC2" s="170"/>
      <c r="AD2" s="170"/>
      <c r="AE2" s="170"/>
      <c r="AF2" s="170"/>
      <c r="AG2" s="165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</row>
    <row r="3" spans="1:46" ht="21" customHeight="1">
      <c r="A3" s="166"/>
      <c r="D3" s="167" t="str">
        <f>Texte!A52</f>
        <v>Milch- und Fleischproduktion</v>
      </c>
      <c r="L3" s="168"/>
      <c r="N3" s="172"/>
      <c r="P3" s="509"/>
      <c r="Q3" s="509"/>
      <c r="R3" s="509" t="str">
        <f>Texte!A6</f>
        <v>Version: 1.3</v>
      </c>
      <c r="T3" s="310"/>
      <c r="U3" s="170"/>
      <c r="W3" s="184" t="s">
        <v>292</v>
      </c>
      <c r="X3" s="184"/>
      <c r="Z3" s="163"/>
      <c r="AA3" s="170"/>
      <c r="AB3" s="170"/>
      <c r="AC3" s="170"/>
      <c r="AD3" s="170"/>
      <c r="AE3" s="170"/>
      <c r="AF3" s="170"/>
      <c r="AG3" s="165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</row>
    <row r="4" spans="2:45" ht="9.75" customHeight="1">
      <c r="B4" s="168"/>
      <c r="C4" s="168"/>
      <c r="E4" s="168"/>
      <c r="F4" s="168"/>
      <c r="G4" s="168"/>
      <c r="H4" s="168"/>
      <c r="I4" s="168"/>
      <c r="J4" s="168"/>
      <c r="K4" s="168"/>
      <c r="L4" s="168"/>
      <c r="P4" s="507"/>
      <c r="Q4" s="507"/>
      <c r="R4" s="507" t="str">
        <f>Texte!A7</f>
        <v>dazugehörende Suisse-Bilanz Aufl. 1.12, Juli 2014</v>
      </c>
      <c r="T4" s="447"/>
      <c r="U4" s="170"/>
      <c r="V4" s="170"/>
      <c r="X4" s="170"/>
      <c r="Z4" s="163"/>
      <c r="AA4" s="170"/>
      <c r="AB4" s="170"/>
      <c r="AC4" s="170"/>
      <c r="AD4" s="170"/>
      <c r="AE4" s="170"/>
      <c r="AF4" s="173"/>
      <c r="AG4" s="165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</row>
    <row r="5" spans="2:45" ht="3" customHeight="1" thickBot="1">
      <c r="B5" s="174"/>
      <c r="C5" s="174"/>
      <c r="D5" s="175"/>
      <c r="E5" s="174"/>
      <c r="F5" s="176"/>
      <c r="G5" s="176"/>
      <c r="H5" s="176"/>
      <c r="I5" s="177"/>
      <c r="J5" s="175"/>
      <c r="K5" s="175"/>
      <c r="L5" s="175"/>
      <c r="M5" s="175"/>
      <c r="N5" s="175"/>
      <c r="O5" s="175"/>
      <c r="P5" s="175"/>
      <c r="Q5" s="175"/>
      <c r="R5" s="175"/>
      <c r="T5" s="170"/>
      <c r="U5" s="170"/>
      <c r="V5" s="170"/>
      <c r="W5" s="170"/>
      <c r="X5" s="170"/>
      <c r="Z5" s="163"/>
      <c r="AA5" s="170"/>
      <c r="AB5" s="170"/>
      <c r="AC5" s="170"/>
      <c r="AD5" s="170"/>
      <c r="AE5" s="170"/>
      <c r="AF5" s="178"/>
      <c r="AG5" s="165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</row>
    <row r="6" spans="2:45" ht="12.75" customHeight="1">
      <c r="B6" s="167"/>
      <c r="C6" s="167"/>
      <c r="E6" s="167"/>
      <c r="F6" s="179"/>
      <c r="G6" s="179"/>
      <c r="H6" s="179"/>
      <c r="I6" s="180"/>
      <c r="J6" s="168"/>
      <c r="M6" s="181"/>
      <c r="N6" s="181"/>
      <c r="O6" s="181"/>
      <c r="P6" s="181"/>
      <c r="Q6" s="181"/>
      <c r="R6" s="181"/>
      <c r="S6" s="170"/>
      <c r="T6" s="170"/>
      <c r="U6" s="502" t="s">
        <v>611</v>
      </c>
      <c r="V6" s="170"/>
      <c r="W6" s="170"/>
      <c r="X6" s="170"/>
      <c r="Z6" s="163"/>
      <c r="AA6" s="170"/>
      <c r="AB6" s="170"/>
      <c r="AC6" s="170"/>
      <c r="AD6" s="170"/>
      <c r="AE6" s="170"/>
      <c r="AF6" s="178"/>
      <c r="AG6" s="165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</row>
    <row r="7" spans="2:45" ht="15" customHeight="1">
      <c r="B7" s="92" t="str">
        <f>Texte!A53</f>
        <v>Betriebsnummer</v>
      </c>
      <c r="C7" s="86"/>
      <c r="D7" s="87"/>
      <c r="E7" s="87"/>
      <c r="F7" s="87"/>
      <c r="G7" s="87"/>
      <c r="H7" s="87"/>
      <c r="I7" s="87"/>
      <c r="M7" s="115" t="str">
        <f>Texte!A54</f>
        <v>Erntejahr</v>
      </c>
      <c r="N7" s="88"/>
      <c r="O7" s="87"/>
      <c r="P7" s="87"/>
      <c r="Q7" s="87"/>
      <c r="R7" s="87"/>
      <c r="S7" s="170"/>
      <c r="T7" s="170"/>
      <c r="U7" s="502" t="s">
        <v>579</v>
      </c>
      <c r="V7" s="170"/>
      <c r="W7" s="170"/>
      <c r="X7" s="502" t="s">
        <v>1080</v>
      </c>
      <c r="Z7" s="163"/>
      <c r="AA7" s="502" t="s">
        <v>1082</v>
      </c>
      <c r="AB7" s="170"/>
      <c r="AC7" s="170"/>
      <c r="AD7" s="170"/>
      <c r="AE7" s="170"/>
      <c r="AF7" s="173"/>
      <c r="AG7" s="165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</row>
    <row r="8" spans="2:46" ht="15" customHeight="1">
      <c r="B8" s="85" t="str">
        <f>Texte!A55</f>
        <v>Name / Vorname</v>
      </c>
      <c r="C8" s="86"/>
      <c r="D8" s="87"/>
      <c r="E8" s="87"/>
      <c r="F8" s="87"/>
      <c r="G8" s="87"/>
      <c r="H8" s="87"/>
      <c r="I8" s="87"/>
      <c r="M8" s="115" t="str">
        <f>Texte!A56</f>
        <v>Variante</v>
      </c>
      <c r="N8" s="88"/>
      <c r="O8" s="87"/>
      <c r="P8" s="87"/>
      <c r="Q8" s="87"/>
      <c r="R8" s="87"/>
      <c r="S8" s="170"/>
      <c r="T8" s="170"/>
      <c r="U8" s="170"/>
      <c r="V8" s="170"/>
      <c r="W8" s="170"/>
      <c r="X8" s="141"/>
      <c r="Y8" s="134"/>
      <c r="Z8" s="134"/>
      <c r="AA8" s="141"/>
      <c r="AB8" s="170"/>
      <c r="AC8" s="170"/>
      <c r="AD8" s="170"/>
      <c r="AE8" s="170"/>
      <c r="AF8" s="170"/>
      <c r="AG8" s="165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</row>
    <row r="9" spans="13:46" ht="15" customHeight="1">
      <c r="M9" s="182"/>
      <c r="Q9" s="170"/>
      <c r="R9" s="170"/>
      <c r="S9" s="170"/>
      <c r="T9" s="170"/>
      <c r="U9" s="141" t="str">
        <f>Texte!A66</f>
        <v>Talgebiet</v>
      </c>
      <c r="V9" s="183">
        <v>1</v>
      </c>
      <c r="W9" s="184"/>
      <c r="X9" s="141" t="str">
        <f>Texte!A69</f>
        <v>Ökonachweis: nicht erfüllt</v>
      </c>
      <c r="Y9" s="141"/>
      <c r="Z9" s="141"/>
      <c r="AA9" s="141" t="str">
        <f>Texte!A73</f>
        <v>keine</v>
      </c>
      <c r="AB9" s="170"/>
      <c r="AC9" s="170"/>
      <c r="AD9" s="170"/>
      <c r="AE9" s="170"/>
      <c r="AF9" s="170"/>
      <c r="AG9" s="185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</row>
    <row r="10" spans="2:46" ht="15" customHeight="1">
      <c r="B10" s="85" t="str">
        <f>Texte!A57</f>
        <v>Strasse / Hof</v>
      </c>
      <c r="C10" s="88"/>
      <c r="D10" s="87"/>
      <c r="E10" s="87"/>
      <c r="F10" s="87"/>
      <c r="G10" s="87"/>
      <c r="H10" s="87"/>
      <c r="I10" s="87"/>
      <c r="M10" s="115" t="str">
        <f>Texte!A58</f>
        <v>Kanton</v>
      </c>
      <c r="N10" s="88"/>
      <c r="O10" s="87"/>
      <c r="P10" s="87"/>
      <c r="Q10" s="87"/>
      <c r="R10" s="87"/>
      <c r="S10" s="170"/>
      <c r="T10" s="170"/>
      <c r="U10" s="141" t="str">
        <f>Texte!A67</f>
        <v>Berggebiet</v>
      </c>
      <c r="V10" s="183">
        <v>2</v>
      </c>
      <c r="W10" s="184"/>
      <c r="X10" s="141" t="str">
        <f>Texte!A70</f>
        <v>Ökonachweis: erfüllt</v>
      </c>
      <c r="Y10" s="141"/>
      <c r="Z10" s="141"/>
      <c r="AA10" s="141" t="str">
        <f>Texte!A74</f>
        <v>Gemeinschaft / ein Betrieb</v>
      </c>
      <c r="AB10" s="170"/>
      <c r="AC10" s="170"/>
      <c r="AD10" s="170"/>
      <c r="AE10" s="170"/>
      <c r="AF10" s="170"/>
      <c r="AG10" s="185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</row>
    <row r="11" spans="2:46" ht="15" customHeight="1">
      <c r="B11" s="85" t="str">
        <f>Texte!A59</f>
        <v>PLZ / Ort</v>
      </c>
      <c r="C11" s="88"/>
      <c r="D11" s="87"/>
      <c r="E11" s="87"/>
      <c r="F11" s="87"/>
      <c r="G11" s="87"/>
      <c r="H11" s="87"/>
      <c r="I11" s="87"/>
      <c r="M11" s="115" t="str">
        <f>Texte!A60</f>
        <v>Fax / E-Mail</v>
      </c>
      <c r="N11" s="467"/>
      <c r="O11" s="93"/>
      <c r="P11" s="93"/>
      <c r="Q11" s="87"/>
      <c r="R11" s="87"/>
      <c r="S11" s="170"/>
      <c r="T11" s="170"/>
      <c r="U11" s="483">
        <f>IF(C15="",0,VLOOKUP($C$15,$U$9:$V$10,2,FALSE))</f>
        <v>0</v>
      </c>
      <c r="V11" s="183"/>
      <c r="W11" s="184"/>
      <c r="X11" s="141" t="str">
        <f>Texte!A71</f>
        <v>Biologischer Landbau</v>
      </c>
      <c r="Y11" s="141"/>
      <c r="Z11" s="141"/>
      <c r="AA11" s="141" t="str">
        <f>Texte!A75</f>
        <v>mit 2 Betrieben</v>
      </c>
      <c r="AB11" s="170"/>
      <c r="AC11" s="170"/>
      <c r="AD11" s="170"/>
      <c r="AE11" s="170"/>
      <c r="AF11" s="170"/>
      <c r="AG11" s="185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</row>
    <row r="12" spans="2:46" ht="15" customHeight="1">
      <c r="B12" s="85" t="str">
        <f>Texte!A61</f>
        <v>Telefon</v>
      </c>
      <c r="C12" s="88"/>
      <c r="D12" s="87"/>
      <c r="E12" s="87"/>
      <c r="F12" s="87"/>
      <c r="G12" s="87"/>
      <c r="H12" s="87"/>
      <c r="I12" s="87"/>
      <c r="M12" s="115" t="str">
        <f>Texte!A62</f>
        <v>Handy</v>
      </c>
      <c r="N12" s="88"/>
      <c r="O12" s="87"/>
      <c r="P12" s="87"/>
      <c r="Q12" s="87"/>
      <c r="R12" s="87"/>
      <c r="S12" s="170"/>
      <c r="T12" s="170"/>
      <c r="U12" s="141"/>
      <c r="V12" s="183"/>
      <c r="W12" s="184"/>
      <c r="X12" s="141"/>
      <c r="Y12" s="141"/>
      <c r="Z12" s="141"/>
      <c r="AA12" s="141" t="str">
        <f>Texte!A76</f>
        <v>mit 3 Betrieben</v>
      </c>
      <c r="AB12" s="170"/>
      <c r="AC12" s="170"/>
      <c r="AD12" s="170"/>
      <c r="AE12" s="170"/>
      <c r="AF12" s="170"/>
      <c r="AG12" s="185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</row>
    <row r="13" spans="13:46" ht="15" customHeight="1">
      <c r="M13" s="182"/>
      <c r="Q13" s="170"/>
      <c r="R13" s="170"/>
      <c r="S13" s="170"/>
      <c r="T13" s="170"/>
      <c r="U13" s="503" t="s">
        <v>612</v>
      </c>
      <c r="V13" s="183"/>
      <c r="W13" s="184"/>
      <c r="Y13" s="141"/>
      <c r="Z13" s="141"/>
      <c r="AA13" s="141" t="str">
        <f>Texte!A77</f>
        <v>mit 4 Betrieben</v>
      </c>
      <c r="AB13" s="170"/>
      <c r="AC13" s="170"/>
      <c r="AD13" s="170"/>
      <c r="AE13" s="170"/>
      <c r="AF13" s="170"/>
      <c r="AG13" s="185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</row>
    <row r="14" spans="2:46" ht="15" customHeight="1">
      <c r="B14" s="85" t="str">
        <f>Texte!A63</f>
        <v>Landw. Nutzfläche</v>
      </c>
      <c r="C14" s="139"/>
      <c r="D14" s="87"/>
      <c r="E14" s="87"/>
      <c r="F14" s="87"/>
      <c r="G14" s="87"/>
      <c r="H14" s="87"/>
      <c r="I14" s="87"/>
      <c r="M14" s="115" t="str">
        <f>Texte!A64</f>
        <v>Höhe über Meer</v>
      </c>
      <c r="N14" s="88"/>
      <c r="O14" s="87"/>
      <c r="P14" s="87"/>
      <c r="Q14" s="87"/>
      <c r="R14" s="87"/>
      <c r="S14" s="170"/>
      <c r="T14" s="170"/>
      <c r="V14" s="183"/>
      <c r="W14" s="184"/>
      <c r="X14" s="184"/>
      <c r="Y14" s="141"/>
      <c r="Z14" s="141"/>
      <c r="AA14" s="194"/>
      <c r="AB14" s="170"/>
      <c r="AC14" s="170"/>
      <c r="AD14" s="170"/>
      <c r="AE14" s="170"/>
      <c r="AF14" s="170"/>
      <c r="AG14" s="185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</row>
    <row r="15" spans="2:46" ht="15" customHeight="1">
      <c r="B15" s="85" t="str">
        <f>Texte!A65</f>
        <v>Gebietszuteilung</v>
      </c>
      <c r="C15" s="637"/>
      <c r="D15" s="637"/>
      <c r="E15" s="637"/>
      <c r="F15" s="637"/>
      <c r="G15" s="637"/>
      <c r="H15" s="637"/>
      <c r="I15" s="637"/>
      <c r="M15" s="115" t="str">
        <f>Texte!A68</f>
        <v>Produktionsform</v>
      </c>
      <c r="N15" s="636"/>
      <c r="O15" s="636"/>
      <c r="P15" s="636"/>
      <c r="Q15" s="636"/>
      <c r="R15" s="636"/>
      <c r="S15" s="170"/>
      <c r="T15" s="170"/>
      <c r="U15" s="184" t="str">
        <f>Texte!A85</f>
        <v>ja</v>
      </c>
      <c r="V15" s="187"/>
      <c r="W15" s="184"/>
      <c r="X15" s="184"/>
      <c r="Y15" s="141"/>
      <c r="Z15" s="141"/>
      <c r="AA15" s="170"/>
      <c r="AB15" s="170"/>
      <c r="AC15" s="170"/>
      <c r="AD15" s="170"/>
      <c r="AE15" s="170"/>
      <c r="AF15" s="170"/>
      <c r="AG15" s="185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</row>
    <row r="16" spans="13:46" ht="15" customHeight="1">
      <c r="M16" s="115" t="str">
        <f>Texte!A72</f>
        <v>Gemeinschaften</v>
      </c>
      <c r="N16" s="636"/>
      <c r="O16" s="636"/>
      <c r="P16" s="636"/>
      <c r="Q16" s="636"/>
      <c r="R16" s="636"/>
      <c r="S16" s="170"/>
      <c r="T16" s="170"/>
      <c r="U16" s="184" t="str">
        <f>Texte!A86</f>
        <v>nein</v>
      </c>
      <c r="V16" s="187"/>
      <c r="W16" s="184"/>
      <c r="X16" s="184"/>
      <c r="Y16" s="141"/>
      <c r="Z16" s="141"/>
      <c r="AA16" s="170"/>
      <c r="AB16" s="170"/>
      <c r="AC16" s="170"/>
      <c r="AD16" s="170"/>
      <c r="AE16" s="170"/>
      <c r="AF16" s="170"/>
      <c r="AG16" s="185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</row>
    <row r="17" spans="2:46" ht="7.5" customHeight="1">
      <c r="B17" s="85"/>
      <c r="C17" s="159"/>
      <c r="D17" s="85"/>
      <c r="M17" s="170"/>
      <c r="N17" s="170"/>
      <c r="O17" s="170"/>
      <c r="P17" s="587"/>
      <c r="Q17" s="587"/>
      <c r="R17" s="587"/>
      <c r="S17" s="170"/>
      <c r="T17" s="170"/>
      <c r="U17" s="194"/>
      <c r="V17" s="184"/>
      <c r="W17" s="184"/>
      <c r="X17" s="184"/>
      <c r="Y17" s="141"/>
      <c r="Z17" s="141"/>
      <c r="AA17" s="170"/>
      <c r="AB17" s="170"/>
      <c r="AC17" s="170"/>
      <c r="AD17" s="170"/>
      <c r="AE17" s="170"/>
      <c r="AF17" s="170"/>
      <c r="AG17" s="185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</row>
    <row r="18" spans="2:46" ht="15" customHeight="1">
      <c r="B18" s="85" t="str">
        <f>Texte!A78</f>
        <v>Berater / Beraterin</v>
      </c>
      <c r="C18" s="88"/>
      <c r="D18" s="87"/>
      <c r="E18" s="87"/>
      <c r="F18" s="87"/>
      <c r="G18" s="87"/>
      <c r="H18" s="87"/>
      <c r="I18" s="87"/>
      <c r="J18" s="87"/>
      <c r="K18" s="87"/>
      <c r="L18" s="89"/>
      <c r="M18" s="89"/>
      <c r="N18" s="89"/>
      <c r="O18" s="89"/>
      <c r="P18" s="89"/>
      <c r="Q18" s="89"/>
      <c r="R18" s="89"/>
      <c r="S18" s="472"/>
      <c r="T18" s="473"/>
      <c r="W18" s="184"/>
      <c r="X18" s="184"/>
      <c r="Z18" s="141"/>
      <c r="AA18" s="170"/>
      <c r="AB18" s="170"/>
      <c r="AC18" s="170"/>
      <c r="AD18" s="170"/>
      <c r="AE18" s="170"/>
      <c r="AF18" s="170"/>
      <c r="AG18" s="185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</row>
    <row r="19" spans="4:46" ht="15" customHeight="1">
      <c r="D19" s="71"/>
      <c r="S19" s="188"/>
      <c r="T19" s="188"/>
      <c r="W19" s="184"/>
      <c r="X19" s="184"/>
      <c r="Z19" s="141"/>
      <c r="AA19" s="170"/>
      <c r="AB19" s="170"/>
      <c r="AC19" s="170"/>
      <c r="AD19" s="170"/>
      <c r="AE19" s="170"/>
      <c r="AF19" s="170"/>
      <c r="AG19" s="185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</row>
    <row r="20" spans="2:46" ht="15" customHeight="1">
      <c r="B20" s="85" t="str">
        <f>Texte!A79</f>
        <v>Bemerkungen</v>
      </c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 t="s">
        <v>103</v>
      </c>
      <c r="P20" s="91"/>
      <c r="Q20" s="91"/>
      <c r="R20" s="91"/>
      <c r="S20" s="188" t="s">
        <v>103</v>
      </c>
      <c r="T20" s="188"/>
      <c r="W20" s="184"/>
      <c r="X20" s="184"/>
      <c r="Z20" s="141"/>
      <c r="AA20" s="170"/>
      <c r="AB20" s="170"/>
      <c r="AC20" s="170"/>
      <c r="AD20" s="170"/>
      <c r="AE20" s="170"/>
      <c r="AF20" s="170"/>
      <c r="AG20" s="185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</row>
    <row r="21" spans="2:46" ht="15" customHeight="1">
      <c r="B21" s="189"/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 t="s">
        <v>103</v>
      </c>
      <c r="P21" s="91"/>
      <c r="Q21" s="91"/>
      <c r="R21" s="91"/>
      <c r="S21" s="188" t="s">
        <v>103</v>
      </c>
      <c r="T21" s="188"/>
      <c r="W21" s="184"/>
      <c r="X21" s="184"/>
      <c r="Z21" s="141"/>
      <c r="AA21" s="170"/>
      <c r="AB21" s="170"/>
      <c r="AC21" s="170"/>
      <c r="AD21" s="170"/>
      <c r="AE21" s="170"/>
      <c r="AF21" s="170"/>
      <c r="AG21" s="185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</row>
    <row r="22" spans="2:46" ht="15" customHeight="1">
      <c r="B22" s="189"/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 t="s">
        <v>103</v>
      </c>
      <c r="P22" s="91"/>
      <c r="Q22" s="91"/>
      <c r="R22" s="91"/>
      <c r="S22" s="188" t="s">
        <v>103</v>
      </c>
      <c r="T22" s="188"/>
      <c r="W22" s="184"/>
      <c r="X22" s="184"/>
      <c r="Z22" s="141"/>
      <c r="AA22" s="170"/>
      <c r="AB22" s="170"/>
      <c r="AC22" s="170"/>
      <c r="AD22" s="170"/>
      <c r="AE22" s="170"/>
      <c r="AF22" s="170"/>
      <c r="AG22" s="185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</row>
    <row r="23" spans="2:46" ht="15" customHeight="1">
      <c r="B23" s="189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 t="s">
        <v>103</v>
      </c>
      <c r="P23" s="91"/>
      <c r="Q23" s="91"/>
      <c r="R23" s="91"/>
      <c r="S23" s="188" t="s">
        <v>103</v>
      </c>
      <c r="T23" s="188"/>
      <c r="W23" s="184"/>
      <c r="X23" s="184"/>
      <c r="Z23" s="141"/>
      <c r="AA23" s="170"/>
      <c r="AB23" s="170"/>
      <c r="AC23" s="170"/>
      <c r="AD23" s="170"/>
      <c r="AE23" s="170"/>
      <c r="AF23" s="170"/>
      <c r="AG23" s="185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</row>
    <row r="24" spans="2:46" ht="15" customHeight="1">
      <c r="B24" s="189"/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 t="s">
        <v>103</v>
      </c>
      <c r="P24" s="91"/>
      <c r="Q24" s="91"/>
      <c r="R24" s="91"/>
      <c r="S24" s="188" t="s">
        <v>103</v>
      </c>
      <c r="T24" s="188"/>
      <c r="W24" s="184"/>
      <c r="X24" s="184"/>
      <c r="Z24" s="141"/>
      <c r="AA24" s="170"/>
      <c r="AB24" s="170"/>
      <c r="AC24" s="170"/>
      <c r="AD24" s="170"/>
      <c r="AE24" s="170"/>
      <c r="AF24" s="170"/>
      <c r="AG24" s="185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</row>
    <row r="25" spans="2:46" ht="15" customHeight="1">
      <c r="B25" s="189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 t="s">
        <v>103</v>
      </c>
      <c r="P25" s="91"/>
      <c r="Q25" s="91"/>
      <c r="R25" s="91"/>
      <c r="S25" s="170" t="s">
        <v>103</v>
      </c>
      <c r="T25" s="170"/>
      <c r="U25" s="184"/>
      <c r="V25" s="184"/>
      <c r="W25" s="184"/>
      <c r="X25" s="184"/>
      <c r="Z25" s="141"/>
      <c r="AA25" s="170"/>
      <c r="AB25" s="170"/>
      <c r="AC25" s="170"/>
      <c r="AD25" s="170"/>
      <c r="AE25" s="170"/>
      <c r="AF25" s="170"/>
      <c r="AG25" s="185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</row>
    <row r="26" spans="2:46" ht="15" customHeight="1">
      <c r="B26" s="189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 t="s">
        <v>103</v>
      </c>
      <c r="P26" s="91"/>
      <c r="Q26" s="91"/>
      <c r="R26" s="91"/>
      <c r="S26" s="170" t="s">
        <v>103</v>
      </c>
      <c r="T26" s="170"/>
      <c r="U26" s="184"/>
      <c r="V26" s="184"/>
      <c r="W26" s="184"/>
      <c r="X26" s="184"/>
      <c r="Z26" s="141"/>
      <c r="AA26" s="170"/>
      <c r="AB26" s="170"/>
      <c r="AC26" s="170"/>
      <c r="AD26" s="170"/>
      <c r="AE26" s="170"/>
      <c r="AF26" s="170"/>
      <c r="AG26" s="185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</row>
    <row r="27" spans="2:46" ht="15" customHeight="1">
      <c r="B27" s="189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 t="s">
        <v>103</v>
      </c>
      <c r="P27" s="91"/>
      <c r="Q27" s="91"/>
      <c r="R27" s="91"/>
      <c r="S27" s="170" t="s">
        <v>103</v>
      </c>
      <c r="T27" s="170"/>
      <c r="V27" s="184"/>
      <c r="W27" s="184"/>
      <c r="X27" s="184"/>
      <c r="Z27" s="141"/>
      <c r="AA27" s="170"/>
      <c r="AB27" s="170"/>
      <c r="AC27" s="170"/>
      <c r="AD27" s="170"/>
      <c r="AE27" s="170"/>
      <c r="AF27" s="170"/>
      <c r="AG27" s="185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</row>
    <row r="28" spans="2:46" ht="15" customHeight="1">
      <c r="B28" s="189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 t="s">
        <v>103</v>
      </c>
      <c r="P28" s="91"/>
      <c r="Q28" s="91"/>
      <c r="R28" s="91"/>
      <c r="S28" s="170" t="s">
        <v>103</v>
      </c>
      <c r="T28" s="170"/>
      <c r="V28" s="184"/>
      <c r="W28" s="184"/>
      <c r="X28" s="184"/>
      <c r="Z28" s="141"/>
      <c r="AA28" s="170"/>
      <c r="AB28" s="170"/>
      <c r="AC28" s="170"/>
      <c r="AD28" s="170"/>
      <c r="AE28" s="170"/>
      <c r="AF28" s="170"/>
      <c r="AG28" s="185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</row>
    <row r="29" spans="2:46" ht="15" customHeight="1">
      <c r="B29" s="189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 t="s">
        <v>103</v>
      </c>
      <c r="P29" s="91"/>
      <c r="Q29" s="91"/>
      <c r="R29" s="91"/>
      <c r="S29" s="170" t="s">
        <v>103</v>
      </c>
      <c r="T29" s="170"/>
      <c r="V29" s="184"/>
      <c r="W29" s="184"/>
      <c r="X29" s="184"/>
      <c r="Z29" s="141"/>
      <c r="AA29" s="170"/>
      <c r="AB29" s="170"/>
      <c r="AC29" s="170"/>
      <c r="AD29" s="170"/>
      <c r="AE29" s="170"/>
      <c r="AF29" s="170"/>
      <c r="AG29" s="185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</row>
    <row r="30" spans="14:46" ht="15" customHeight="1">
      <c r="N30" s="170"/>
      <c r="O30" s="170"/>
      <c r="P30" s="170"/>
      <c r="Q30" s="170"/>
      <c r="R30" s="170"/>
      <c r="S30" s="170"/>
      <c r="T30" s="170"/>
      <c r="V30" s="184"/>
      <c r="W30" s="184"/>
      <c r="X30" s="184"/>
      <c r="Z30" s="141"/>
      <c r="AA30" s="170"/>
      <c r="AB30" s="170"/>
      <c r="AC30" s="170"/>
      <c r="AD30" s="170"/>
      <c r="AE30" s="170"/>
      <c r="AF30" s="170"/>
      <c r="AG30" s="185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</row>
    <row r="31" spans="1:46" ht="16.5" customHeight="1">
      <c r="A31" s="190"/>
      <c r="B31" s="191" t="str">
        <f>Texte!A80</f>
        <v>Teil A: Grund- und Kraftfutterverzehr (Bedarf)</v>
      </c>
      <c r="C31" s="190"/>
      <c r="D31" s="190"/>
      <c r="E31" s="190"/>
      <c r="F31" s="192"/>
      <c r="G31" s="192"/>
      <c r="H31" s="192"/>
      <c r="I31" s="192"/>
      <c r="J31" s="192"/>
      <c r="T31" s="193"/>
      <c r="V31" s="194"/>
      <c r="X31" s="194"/>
      <c r="Y31" s="504" t="s">
        <v>613</v>
      </c>
      <c r="Z31" s="195"/>
      <c r="AB31" s="196"/>
      <c r="AC31" s="197"/>
      <c r="AD31" s="196"/>
      <c r="AE31" s="198"/>
      <c r="AF31" s="162"/>
      <c r="AG31" s="193"/>
      <c r="AH31" s="173"/>
      <c r="AI31" s="173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</row>
    <row r="32" spans="2:46" ht="9.75" customHeight="1">
      <c r="B32" s="199"/>
      <c r="C32" s="199"/>
      <c r="D32" s="199"/>
      <c r="E32" s="199"/>
      <c r="I32" s="168"/>
      <c r="T32" s="200"/>
      <c r="U32" s="505" t="s">
        <v>166</v>
      </c>
      <c r="V32" s="194"/>
      <c r="X32" s="145"/>
      <c r="Y32" s="145" t="s">
        <v>616</v>
      </c>
      <c r="Z32" s="201"/>
      <c r="AA32" s="193"/>
      <c r="AB32" s="193"/>
      <c r="AC32" s="200"/>
      <c r="AD32" s="196"/>
      <c r="AE32" s="196"/>
      <c r="AF32" s="200"/>
      <c r="AG32" s="193"/>
      <c r="AH32" s="193"/>
      <c r="AI32" s="193"/>
      <c r="AJ32" s="202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</row>
    <row r="33" spans="1:46" ht="13.5" customHeight="1">
      <c r="A33" s="199"/>
      <c r="C33" s="199"/>
      <c r="E33" s="203" t="str">
        <f>Texte!A81</f>
        <v>Total Kraftfutterverbrauch für Milchkühe auf LN</v>
      </c>
      <c r="F33" s="56"/>
      <c r="G33" s="162" t="str">
        <f>Texte!A82</f>
        <v>dt/Jahr</v>
      </c>
      <c r="L33" s="204" t="str">
        <f>Texte!A83</f>
        <v>Fütterung von Kartoffeln oder Futterrüben?</v>
      </c>
      <c r="M33" s="158"/>
      <c r="N33" s="205"/>
      <c r="O33" s="200"/>
      <c r="P33" s="200"/>
      <c r="Q33" s="200"/>
      <c r="R33" s="200"/>
      <c r="U33" s="483">
        <f>IF($M$33="",0,IF($M$33=$U$15,1.1,0))</f>
        <v>0</v>
      </c>
      <c r="V33" s="213"/>
      <c r="W33" s="214">
        <v>0</v>
      </c>
      <c r="X33" s="215">
        <v>0</v>
      </c>
      <c r="Y33" s="215">
        <v>500</v>
      </c>
      <c r="Z33" s="195"/>
      <c r="AA33" s="200"/>
      <c r="AC33" s="164"/>
      <c r="AD33" s="163"/>
      <c r="AE33" s="196"/>
      <c r="AF33" s="162"/>
      <c r="AG33" s="165"/>
      <c r="AH33" s="193"/>
      <c r="AI33" s="193"/>
      <c r="AJ33" s="202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</row>
    <row r="34" spans="1:46" ht="13.5" customHeight="1">
      <c r="A34" s="199"/>
      <c r="B34" s="206"/>
      <c r="C34" s="199"/>
      <c r="L34" s="207" t="str">
        <f>Texte!A84</f>
        <v>ad libitum-Fütterung?</v>
      </c>
      <c r="M34" s="158"/>
      <c r="N34" s="208"/>
      <c r="O34" s="193"/>
      <c r="P34" s="193"/>
      <c r="Q34" s="193"/>
      <c r="R34" s="193"/>
      <c r="U34" s="483">
        <f>IF($M$34="",0,IF($M$34=$U$15,1.83,0))</f>
        <v>0</v>
      </c>
      <c r="V34" s="213"/>
      <c r="W34" s="214">
        <v>1000</v>
      </c>
      <c r="X34" s="215">
        <v>0</v>
      </c>
      <c r="Y34" s="215">
        <v>500</v>
      </c>
      <c r="Z34" s="195"/>
      <c r="AA34" s="200"/>
      <c r="AC34" s="164"/>
      <c r="AD34" s="163"/>
      <c r="AE34" s="196"/>
      <c r="AF34" s="162"/>
      <c r="AG34" s="165"/>
      <c r="AH34" s="193"/>
      <c r="AI34" s="193"/>
      <c r="AJ34" s="202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</row>
    <row r="35" spans="1:47" ht="12" customHeight="1">
      <c r="A35" s="209"/>
      <c r="B35" s="210"/>
      <c r="C35" s="210"/>
      <c r="D35" s="210"/>
      <c r="E35" s="210"/>
      <c r="F35" s="211"/>
      <c r="G35" s="211"/>
      <c r="H35" s="211"/>
      <c r="I35" s="211"/>
      <c r="J35" s="211"/>
      <c r="K35" s="211"/>
      <c r="L35" s="211"/>
      <c r="M35" s="211"/>
      <c r="N35" s="211"/>
      <c r="O35" s="168"/>
      <c r="P35" s="168"/>
      <c r="Q35" s="168"/>
      <c r="R35" s="168"/>
      <c r="S35" s="209"/>
      <c r="T35" s="209"/>
      <c r="U35" s="212"/>
      <c r="V35" s="213"/>
      <c r="W35" s="214">
        <v>2000</v>
      </c>
      <c r="X35" s="215">
        <v>0</v>
      </c>
      <c r="Y35" s="215">
        <v>500</v>
      </c>
      <c r="Z35" s="216"/>
      <c r="AA35" s="217"/>
      <c r="AB35" s="217"/>
      <c r="AC35" s="217"/>
      <c r="AD35" s="217"/>
      <c r="AE35" s="218"/>
      <c r="AF35" s="162"/>
      <c r="AG35" s="165"/>
      <c r="AJ35" s="162"/>
      <c r="AK35" s="202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</row>
    <row r="36" spans="1:47" ht="12.75" customHeight="1">
      <c r="A36" s="219"/>
      <c r="B36" s="220"/>
      <c r="C36" s="221"/>
      <c r="D36" s="221"/>
      <c r="E36" s="221"/>
      <c r="F36" s="222"/>
      <c r="G36" s="222"/>
      <c r="H36" s="223"/>
      <c r="J36" s="224"/>
      <c r="K36" s="225" t="str">
        <f>Texte!A97</f>
        <v>Grundfutter-</v>
      </c>
      <c r="L36" s="226"/>
      <c r="M36" s="225" t="str">
        <f>Texte!A103</f>
        <v>Kraftfutter-</v>
      </c>
      <c r="N36" s="225" t="str">
        <f>Texte!A108</f>
        <v>Sömmerung</v>
      </c>
      <c r="O36" s="590"/>
      <c r="P36" s="591"/>
      <c r="Q36" s="590"/>
      <c r="R36" s="227"/>
      <c r="S36" s="209"/>
      <c r="T36" s="209"/>
      <c r="U36" s="212"/>
      <c r="V36" s="212"/>
      <c r="W36" s="214">
        <v>3000</v>
      </c>
      <c r="X36" s="215">
        <v>0</v>
      </c>
      <c r="Y36" s="215">
        <v>500</v>
      </c>
      <c r="Z36" s="213"/>
      <c r="AA36" s="209"/>
      <c r="AB36" s="209"/>
      <c r="AC36" s="209"/>
      <c r="AD36" s="209"/>
      <c r="AE36" s="209"/>
      <c r="AF36" s="162"/>
      <c r="AG36" s="165"/>
      <c r="AJ36" s="162"/>
      <c r="AK36" s="202"/>
      <c r="AL36" s="228"/>
      <c r="AM36" s="171"/>
      <c r="AN36" s="171"/>
      <c r="AO36" s="229"/>
      <c r="AP36" s="171"/>
      <c r="AQ36" s="171"/>
      <c r="AR36" s="171"/>
      <c r="AS36" s="171"/>
      <c r="AT36" s="171"/>
      <c r="AU36" s="171"/>
    </row>
    <row r="37" spans="1:47" ht="12.75" customHeight="1">
      <c r="A37" s="230"/>
      <c r="B37" s="231"/>
      <c r="C37" s="232"/>
      <c r="D37" s="232"/>
      <c r="E37" s="232"/>
      <c r="F37" s="233"/>
      <c r="H37" s="234" t="str">
        <f>Texte!A90</f>
        <v>Abzug /</v>
      </c>
      <c r="I37" s="235"/>
      <c r="J37" s="236" t="str">
        <f>Texte!A94</f>
        <v>Anzahl</v>
      </c>
      <c r="K37" s="237" t="str">
        <f>Texte!A98</f>
        <v>verzehr</v>
      </c>
      <c r="L37" s="238"/>
      <c r="M37" s="239" t="str">
        <f>Texte!A104</f>
        <v>verzehr</v>
      </c>
      <c r="N37" s="408"/>
      <c r="O37" s="592"/>
      <c r="P37" s="593"/>
      <c r="Q37" s="594"/>
      <c r="R37" s="240"/>
      <c r="S37" s="243"/>
      <c r="T37" s="243"/>
      <c r="U37" s="212"/>
      <c r="V37" s="212"/>
      <c r="W37" s="214">
        <v>4000</v>
      </c>
      <c r="X37" s="215">
        <v>0</v>
      </c>
      <c r="Y37" s="215">
        <v>500</v>
      </c>
      <c r="Z37" s="213"/>
      <c r="AA37" s="209"/>
      <c r="AB37" s="244"/>
      <c r="AC37" s="209"/>
      <c r="AD37" s="209"/>
      <c r="AE37" s="209"/>
      <c r="AF37" s="162"/>
      <c r="AG37" s="165"/>
      <c r="AJ37" s="162"/>
      <c r="AK37" s="202"/>
      <c r="AL37" s="648"/>
      <c r="AM37" s="649"/>
      <c r="AN37" s="649"/>
      <c r="AO37" s="650"/>
      <c r="AP37" s="171"/>
      <c r="AQ37" s="171"/>
      <c r="AR37" s="171"/>
      <c r="AS37" s="171"/>
      <c r="AT37" s="171"/>
      <c r="AU37" s="171"/>
    </row>
    <row r="38" spans="1:46" ht="12.75" customHeight="1">
      <c r="A38" s="219"/>
      <c r="B38" s="246" t="str">
        <f>Texte!A87</f>
        <v>Tierart bzw. Tierkategorie</v>
      </c>
      <c r="C38" s="232"/>
      <c r="D38" s="232"/>
      <c r="E38" s="232"/>
      <c r="F38" s="233" t="str">
        <f>Texte!A88</f>
        <v>Einheit</v>
      </c>
      <c r="G38" s="233" t="str">
        <f>Texte!A89</f>
        <v>Anzahl</v>
      </c>
      <c r="H38" s="234" t="str">
        <f>Texte!A91</f>
        <v>Zuschlag</v>
      </c>
      <c r="I38" s="247"/>
      <c r="J38" s="236" t="str">
        <f>Texte!A95</f>
        <v>korri-</v>
      </c>
      <c r="K38" s="248" t="str">
        <f>Texte!A102</f>
        <v>dt TS</v>
      </c>
      <c r="L38" s="248" t="str">
        <f>Texte!A102</f>
        <v>dt TS</v>
      </c>
      <c r="M38" s="236" t="str">
        <f>Texte!A100</f>
        <v>dt FS</v>
      </c>
      <c r="N38" s="236" t="str">
        <f>Texte!A109</f>
        <v>Anzahl</v>
      </c>
      <c r="O38" s="236" t="str">
        <f>Texte!A111</f>
        <v>Anzahl</v>
      </c>
      <c r="P38" s="236" t="str">
        <f>Texte!A113</f>
        <v>Sömmerungs-</v>
      </c>
      <c r="Q38" s="236" t="str">
        <f>Texte!A115</f>
        <v>GF-Verzehr</v>
      </c>
      <c r="R38" s="236" t="str">
        <f>Texte!A116</f>
        <v>Kraftfutter</v>
      </c>
      <c r="S38" s="249"/>
      <c r="T38" s="249"/>
      <c r="U38" s="148"/>
      <c r="V38" s="212"/>
      <c r="W38" s="214">
        <v>5000</v>
      </c>
      <c r="X38" s="215">
        <v>0</v>
      </c>
      <c r="Y38" s="215">
        <v>500</v>
      </c>
      <c r="Z38" s="250"/>
      <c r="AA38" s="251"/>
      <c r="AB38" s="251"/>
      <c r="AC38" s="147"/>
      <c r="AD38" s="52"/>
      <c r="AE38" s="251"/>
      <c r="AF38" s="162"/>
      <c r="AG38" s="165"/>
      <c r="AJ38" s="162"/>
      <c r="AK38" s="202"/>
      <c r="AL38" s="171"/>
      <c r="AM38" s="171"/>
      <c r="AN38" s="171"/>
      <c r="AO38" s="171"/>
      <c r="AP38" s="171"/>
      <c r="AQ38" s="171"/>
      <c r="AR38" s="171"/>
      <c r="AS38" s="171"/>
      <c r="AT38" s="171"/>
    </row>
    <row r="39" spans="1:51" ht="12.75" customHeight="1">
      <c r="A39" s="219"/>
      <c r="B39" s="252"/>
      <c r="C39" s="253"/>
      <c r="D39" s="253"/>
      <c r="E39" s="253"/>
      <c r="F39" s="254"/>
      <c r="G39" s="254"/>
      <c r="H39" s="254" t="str">
        <f>Texte!A92</f>
        <v>± Tiere</v>
      </c>
      <c r="I39" s="255" t="str">
        <f>Texte!A93</f>
        <v>Tage</v>
      </c>
      <c r="J39" s="256" t="str">
        <f>Texte!A96</f>
        <v>giert</v>
      </c>
      <c r="K39" s="256" t="str">
        <f>Texte!A99</f>
        <v>pro Jahr</v>
      </c>
      <c r="L39" s="256" t="str">
        <f>Texte!A101</f>
        <v>total</v>
      </c>
      <c r="M39" s="256" t="str">
        <f>Texte!A101</f>
        <v>total</v>
      </c>
      <c r="N39" s="256" t="str">
        <f>Texte!A110</f>
        <v>Tiere</v>
      </c>
      <c r="O39" s="256" t="str">
        <f>Texte!A112</f>
        <v>Tage</v>
      </c>
      <c r="P39" s="256" t="str">
        <f>Texte!A114</f>
        <v>tage total</v>
      </c>
      <c r="Q39" s="256" t="str">
        <f>Texte!A117</f>
        <v>dt TS total</v>
      </c>
      <c r="R39" s="256" t="str">
        <f>Texte!A118</f>
        <v>dt FS total</v>
      </c>
      <c r="S39" s="249"/>
      <c r="T39" s="249"/>
      <c r="U39" s="257"/>
      <c r="V39" s="268"/>
      <c r="W39" s="214">
        <v>6000</v>
      </c>
      <c r="X39" s="215">
        <v>100</v>
      </c>
      <c r="Y39" s="215">
        <v>700</v>
      </c>
      <c r="Z39" s="258"/>
      <c r="AA39" s="251"/>
      <c r="AB39" s="251"/>
      <c r="AC39" s="259"/>
      <c r="AD39" s="251"/>
      <c r="AE39" s="251"/>
      <c r="AF39" s="162"/>
      <c r="AG39" s="165"/>
      <c r="AJ39" s="162"/>
      <c r="AK39" s="202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Y39" s="162">
        <v>0</v>
      </c>
    </row>
    <row r="40" spans="1:47" ht="12.75" customHeight="1">
      <c r="A40" s="219"/>
      <c r="B40" s="260" t="str">
        <f>Texte!A120</f>
        <v>Rindvieh</v>
      </c>
      <c r="C40" s="261"/>
      <c r="D40" s="261"/>
      <c r="E40" s="261"/>
      <c r="F40" s="261"/>
      <c r="G40" s="261"/>
      <c r="H40" s="261"/>
      <c r="I40" s="262"/>
      <c r="J40" s="263"/>
      <c r="K40" s="263"/>
      <c r="L40" s="263"/>
      <c r="M40" s="263"/>
      <c r="N40" s="263"/>
      <c r="O40" s="263"/>
      <c r="P40" s="263"/>
      <c r="Q40" s="263"/>
      <c r="R40" s="263"/>
      <c r="S40" s="249"/>
      <c r="T40" s="249"/>
      <c r="U40" s="257"/>
      <c r="V40" s="268"/>
      <c r="W40" s="214">
        <v>7000</v>
      </c>
      <c r="X40" s="215">
        <v>300</v>
      </c>
      <c r="Y40" s="215">
        <v>900</v>
      </c>
      <c r="Z40" s="258"/>
      <c r="AA40" s="251"/>
      <c r="AB40" s="251"/>
      <c r="AC40" s="259"/>
      <c r="AD40" s="251"/>
      <c r="AE40" s="251"/>
      <c r="AF40" s="162"/>
      <c r="AG40" s="165"/>
      <c r="AJ40" s="162"/>
      <c r="AK40" s="202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</row>
    <row r="41" spans="1:51" ht="12.75" customHeight="1">
      <c r="A41" s="264"/>
      <c r="B41" s="265" t="str">
        <f>Texte!A122</f>
        <v>Milchkühe</v>
      </c>
      <c r="C41" s="266"/>
      <c r="D41" s="528" t="str">
        <f>Texte!A121</f>
        <v>Ø Milchprod. kg/Jahr</v>
      </c>
      <c r="E41" s="267"/>
      <c r="F41" s="2" t="str">
        <f>IF($B41="","",VLOOKUP($B41,Daten!$B$8:$E$57,2,FALSE))</f>
        <v>1 Stück</v>
      </c>
      <c r="G41" s="106"/>
      <c r="H41" s="107"/>
      <c r="I41" s="107"/>
      <c r="J41" s="160">
        <f>IF(OR(AND(H41&lt;0,G41&lt;ABS(H41)),I41&gt;365),"!",G41+(H41*I41/365))</f>
        <v>0</v>
      </c>
      <c r="K41" s="160">
        <f>IF(E41&lt;=6500,58-(6500-E41)/100*0.58+U33+U34+Y46,58+(E41-6500)/100*0.12+U33+U34+Y46)</f>
        <v>20.300000000000004</v>
      </c>
      <c r="L41" s="161">
        <f aca="true" t="shared" si="0" ref="L41:L56">IF(J41&gt;0,J41*K41,"")</f>
      </c>
      <c r="M41" s="161">
        <f>F33</f>
        <v>0</v>
      </c>
      <c r="N41" s="107"/>
      <c r="O41" s="107"/>
      <c r="P41" s="161">
        <f>N41*O41</f>
        <v>0</v>
      </c>
      <c r="Q41" s="161">
        <f>IF($N41=0,"",IF(E41&lt;=6500,58-(6500-E41)/100*0.58,58+(E41-6500)/100*0.12)*$P41/365)</f>
      </c>
      <c r="R41" s="608"/>
      <c r="S41" s="52"/>
      <c r="T41" s="52"/>
      <c r="U41" s="144"/>
      <c r="V41" s="268"/>
      <c r="W41" s="214">
        <v>8000</v>
      </c>
      <c r="X41" s="215">
        <v>500</v>
      </c>
      <c r="Y41" s="215">
        <v>1100</v>
      </c>
      <c r="Z41" s="145"/>
      <c r="AA41" s="269"/>
      <c r="AB41" s="146"/>
      <c r="AC41" s="147"/>
      <c r="AD41" s="147"/>
      <c r="AE41" s="147"/>
      <c r="AF41" s="162"/>
      <c r="AG41" s="165"/>
      <c r="AJ41" s="162"/>
      <c r="AK41" s="202"/>
      <c r="AL41" s="228"/>
      <c r="AM41" s="171"/>
      <c r="AN41" s="171"/>
      <c r="AO41" s="229"/>
      <c r="AP41" s="171"/>
      <c r="AQ41" s="171"/>
      <c r="AR41" s="171"/>
      <c r="AS41" s="171"/>
      <c r="AT41" s="171"/>
      <c r="AU41" s="171"/>
      <c r="AY41" s="270">
        <v>50</v>
      </c>
    </row>
    <row r="42" spans="1:51" ht="12.75" customHeight="1">
      <c r="A42" s="264"/>
      <c r="B42" s="271" t="str">
        <f>Texte!A123</f>
        <v>andere Kühe</v>
      </c>
      <c r="C42" s="272"/>
      <c r="D42" s="528" t="str">
        <f>Texte!A121</f>
        <v>Ø Milchprod. kg/Jahr</v>
      </c>
      <c r="E42" s="273"/>
      <c r="F42" s="2" t="str">
        <f>IF($B42="","",VLOOKUP($B42,Daten!$B$8:$E$57,2,FALSE))</f>
        <v>1 Stück</v>
      </c>
      <c r="G42" s="106"/>
      <c r="H42" s="108"/>
      <c r="I42" s="108"/>
      <c r="J42" s="160">
        <f aca="true" t="shared" si="1" ref="J42:J73">IF(OR(AND(H42&lt;0,G42&lt;ABS(H42)),I42&gt;365),"!",G42+(H42*I42/365))</f>
        <v>0</v>
      </c>
      <c r="K42" s="160">
        <f>IF(E42&lt;=6500,58-(6500-E42)/100*0.58+Y47,58+(E42-6500)/100*0.12+Y47)</f>
        <v>20.300000000000004</v>
      </c>
      <c r="L42" s="161">
        <f t="shared" si="0"/>
      </c>
      <c r="M42" s="108"/>
      <c r="N42" s="108"/>
      <c r="O42" s="108"/>
      <c r="P42" s="161">
        <f aca="true" t="shared" si="2" ref="P42:P64">N42*O42</f>
        <v>0</v>
      </c>
      <c r="Q42" s="161">
        <f aca="true" t="shared" si="3" ref="Q42:Q57">IF($N42=0,"",$K42*$P42/365)</f>
      </c>
      <c r="R42" s="289"/>
      <c r="S42" s="52"/>
      <c r="T42" s="52"/>
      <c r="U42" s="144"/>
      <c r="V42" s="268"/>
      <c r="W42" s="214">
        <v>9000</v>
      </c>
      <c r="X42" s="215">
        <v>700</v>
      </c>
      <c r="Y42" s="215">
        <v>1300</v>
      </c>
      <c r="Z42" s="145"/>
      <c r="AA42" s="269"/>
      <c r="AB42" s="146"/>
      <c r="AC42" s="147"/>
      <c r="AD42" s="147"/>
      <c r="AE42" s="147"/>
      <c r="AF42" s="162"/>
      <c r="AG42" s="165"/>
      <c r="AJ42" s="162"/>
      <c r="AK42" s="202"/>
      <c r="AL42" s="648"/>
      <c r="AM42" s="649"/>
      <c r="AN42" s="649"/>
      <c r="AO42" s="650"/>
      <c r="AP42" s="171"/>
      <c r="AQ42" s="171"/>
      <c r="AR42" s="171"/>
      <c r="AS42" s="171"/>
      <c r="AT42" s="171"/>
      <c r="AU42" s="171"/>
      <c r="AY42" s="270">
        <v>100</v>
      </c>
    </row>
    <row r="43" spans="1:46" ht="12.75" customHeight="1">
      <c r="A43" s="53"/>
      <c r="B43" s="271" t="str">
        <f>Texte!A127</f>
        <v>Jungvieh, 0 bis 1-jährig</v>
      </c>
      <c r="C43" s="272"/>
      <c r="D43" s="272"/>
      <c r="E43" s="272"/>
      <c r="F43" s="2" t="str">
        <f>IF($B43="","",VLOOKUP($B43,Daten!$B$8:$E$57,2,FALSE))</f>
        <v>1 Stück</v>
      </c>
      <c r="G43" s="106"/>
      <c r="H43" s="108"/>
      <c r="I43" s="108"/>
      <c r="J43" s="160">
        <f t="shared" si="1"/>
        <v>0</v>
      </c>
      <c r="K43" s="3">
        <f>IF($B43="","",VLOOKUP($B43,Daten!$B$8:$E$57,4,FALSE))</f>
        <v>11</v>
      </c>
      <c r="L43" s="161">
        <f t="shared" si="0"/>
      </c>
      <c r="M43" s="108"/>
      <c r="N43" s="108"/>
      <c r="O43" s="108"/>
      <c r="P43" s="161">
        <f t="shared" si="2"/>
        <v>0</v>
      </c>
      <c r="Q43" s="161">
        <f t="shared" si="3"/>
      </c>
      <c r="R43" s="289"/>
      <c r="S43" s="52"/>
      <c r="T43" s="52"/>
      <c r="U43" s="144"/>
      <c r="V43" s="268"/>
      <c r="W43" s="214">
        <v>10000</v>
      </c>
      <c r="X43" s="215">
        <v>900</v>
      </c>
      <c r="Y43" s="215">
        <v>1600</v>
      </c>
      <c r="Z43" s="145"/>
      <c r="AA43" s="269"/>
      <c r="AB43" s="146"/>
      <c r="AC43" s="147"/>
      <c r="AD43" s="147"/>
      <c r="AE43" s="147"/>
      <c r="AF43" s="162"/>
      <c r="AG43" s="165"/>
      <c r="AJ43" s="162"/>
      <c r="AK43" s="202"/>
      <c r="AL43" s="171"/>
      <c r="AM43" s="171"/>
      <c r="AN43" s="171"/>
      <c r="AO43" s="171"/>
      <c r="AP43" s="171"/>
      <c r="AQ43" s="171"/>
      <c r="AR43" s="171"/>
      <c r="AS43" s="171"/>
      <c r="AT43" s="171"/>
    </row>
    <row r="44" spans="1:47" ht="12.75" customHeight="1">
      <c r="A44" s="53"/>
      <c r="B44" s="271" t="str">
        <f>Texte!A128</f>
        <v>Jungvieh, 1 bis 2-jährig</v>
      </c>
      <c r="C44" s="272"/>
      <c r="D44" s="272"/>
      <c r="E44" s="272"/>
      <c r="F44" s="2" t="str">
        <f>IF($B44="","",VLOOKUP($B44,Daten!$B$8:$E$57,2,FALSE))</f>
        <v>1 Stück</v>
      </c>
      <c r="G44" s="106"/>
      <c r="H44" s="108"/>
      <c r="I44" s="108"/>
      <c r="J44" s="160">
        <f t="shared" si="1"/>
        <v>0</v>
      </c>
      <c r="K44" s="3">
        <f>IF($B44="","",VLOOKUP($B44,Daten!$B$8:$E$57,4,FALSE))</f>
        <v>22</v>
      </c>
      <c r="L44" s="161">
        <f t="shared" si="0"/>
      </c>
      <c r="M44" s="108"/>
      <c r="N44" s="108"/>
      <c r="O44" s="108"/>
      <c r="P44" s="161">
        <f t="shared" si="2"/>
        <v>0</v>
      </c>
      <c r="Q44" s="161">
        <f t="shared" si="3"/>
      </c>
      <c r="R44" s="289"/>
      <c r="S44" s="52"/>
      <c r="T44" s="52"/>
      <c r="U44" s="144"/>
      <c r="V44" s="268"/>
      <c r="W44" s="214">
        <v>11000</v>
      </c>
      <c r="X44" s="215">
        <v>1100</v>
      </c>
      <c r="Y44" s="215">
        <v>1900</v>
      </c>
      <c r="Z44" s="145"/>
      <c r="AA44" s="269"/>
      <c r="AB44" s="146"/>
      <c r="AC44" s="147"/>
      <c r="AD44" s="147"/>
      <c r="AE44" s="147"/>
      <c r="AF44" s="162"/>
      <c r="AG44" s="165"/>
      <c r="AJ44" s="162"/>
      <c r="AK44" s="202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</row>
    <row r="45" spans="1:47" ht="12.75" customHeight="1">
      <c r="A45" s="53"/>
      <c r="B45" s="271" t="str">
        <f>Texte!A129</f>
        <v>Rinder &gt;2-jährig</v>
      </c>
      <c r="C45" s="272"/>
      <c r="D45" s="272"/>
      <c r="E45" s="272"/>
      <c r="F45" s="2" t="str">
        <f>IF($B45="","",VLOOKUP($B45,Daten!$B$8:$E$57,2,FALSE))</f>
        <v>1 Platz</v>
      </c>
      <c r="G45" s="106"/>
      <c r="H45" s="108"/>
      <c r="I45" s="108"/>
      <c r="J45" s="160">
        <f>IF(I45&gt;365,"!",G45+(H45*I45/365))</f>
        <v>0</v>
      </c>
      <c r="K45" s="3">
        <f>IF($B45="","",VLOOKUP($B45,Daten!$B$8:$E$57,4,FALSE))</f>
        <v>33</v>
      </c>
      <c r="L45" s="161">
        <f t="shared" si="0"/>
      </c>
      <c r="M45" s="108"/>
      <c r="N45" s="108"/>
      <c r="O45" s="108"/>
      <c r="P45" s="161">
        <f t="shared" si="2"/>
        <v>0</v>
      </c>
      <c r="Q45" s="161">
        <f t="shared" si="3"/>
      </c>
      <c r="R45" s="289"/>
      <c r="S45" s="52"/>
      <c r="T45" s="52"/>
      <c r="U45" s="144"/>
      <c r="V45" s="268"/>
      <c r="W45" s="194"/>
      <c r="X45" s="336" t="s">
        <v>235</v>
      </c>
      <c r="Y45" s="483">
        <f>IF(G41=0,0,F33/J41*100)</f>
        <v>0</v>
      </c>
      <c r="Z45" s="145"/>
      <c r="AA45" s="269"/>
      <c r="AB45" s="146"/>
      <c r="AC45" s="147"/>
      <c r="AD45" s="147"/>
      <c r="AE45" s="147"/>
      <c r="AF45" s="162"/>
      <c r="AG45" s="165"/>
      <c r="AJ45" s="162"/>
      <c r="AK45" s="202"/>
      <c r="AL45" s="228"/>
      <c r="AM45" s="171"/>
      <c r="AN45" s="171"/>
      <c r="AO45" s="229"/>
      <c r="AP45" s="171"/>
      <c r="AQ45" s="171"/>
      <c r="AR45" s="171"/>
      <c r="AS45" s="171"/>
      <c r="AT45" s="171"/>
      <c r="AU45" s="171"/>
    </row>
    <row r="46" spans="1:47" ht="12.75" customHeight="1">
      <c r="A46" s="53"/>
      <c r="B46" s="271" t="str">
        <f>Texte!A138</f>
        <v>Zuchtstier</v>
      </c>
      <c r="C46" s="272"/>
      <c r="D46" s="272"/>
      <c r="E46" s="272"/>
      <c r="F46" s="2" t="str">
        <f>IF($B46="","",VLOOKUP($B46,Daten!$B$8:$E$57,2,FALSE))</f>
        <v>1 Stück</v>
      </c>
      <c r="G46" s="106"/>
      <c r="H46" s="108"/>
      <c r="I46" s="108"/>
      <c r="J46" s="160">
        <f t="shared" si="1"/>
        <v>0</v>
      </c>
      <c r="K46" s="3">
        <f>IF($B46="","",VLOOKUP($B46,Daten!$B$8:$E$57,4,FALSE))</f>
        <v>30</v>
      </c>
      <c r="L46" s="161">
        <f t="shared" si="0"/>
      </c>
      <c r="M46" s="108"/>
      <c r="N46" s="108"/>
      <c r="O46" s="108"/>
      <c r="P46" s="161">
        <f t="shared" si="2"/>
        <v>0</v>
      </c>
      <c r="Q46" s="161">
        <f t="shared" si="3"/>
      </c>
      <c r="R46" s="289"/>
      <c r="S46" s="52"/>
      <c r="T46" s="52"/>
      <c r="U46" s="144"/>
      <c r="X46" s="145" t="s">
        <v>617</v>
      </c>
      <c r="Y46" s="483">
        <f>IF(Y45&lt;Y50,(Y50-Y45)*1.2,IF(Y45&gt;Y51,(Y45-Y51)*-1.2,0))/100</f>
        <v>0</v>
      </c>
      <c r="Z46" s="145"/>
      <c r="AA46" s="269"/>
      <c r="AB46" s="146"/>
      <c r="AC46" s="147"/>
      <c r="AD46" s="147"/>
      <c r="AE46" s="147"/>
      <c r="AF46" s="162"/>
      <c r="AG46" s="165"/>
      <c r="AJ46" s="162"/>
      <c r="AK46" s="202"/>
      <c r="AL46" s="648"/>
      <c r="AM46" s="649"/>
      <c r="AN46" s="649"/>
      <c r="AO46" s="650"/>
      <c r="AP46" s="171"/>
      <c r="AQ46" s="171"/>
      <c r="AR46" s="171"/>
      <c r="AS46" s="171"/>
      <c r="AT46" s="171"/>
      <c r="AU46" s="171"/>
    </row>
    <row r="47" spans="1:46" ht="12.75" customHeight="1">
      <c r="A47" s="53"/>
      <c r="B47" s="274" t="str">
        <f>Texte!A130</f>
        <v>Mastkälber (50-200 kg)</v>
      </c>
      <c r="C47" s="272"/>
      <c r="D47" s="272"/>
      <c r="E47" s="272"/>
      <c r="F47" s="2" t="str">
        <f>IF($B47="","",VLOOKUP($B47,Daten!$B$8:$E$57,2,FALSE))</f>
        <v>1 Platz</v>
      </c>
      <c r="G47" s="106"/>
      <c r="H47" s="108"/>
      <c r="I47" s="108"/>
      <c r="J47" s="160">
        <f t="shared" si="1"/>
        <v>0</v>
      </c>
      <c r="K47" s="3">
        <f>IF($B47="","",VLOOKUP($B47,Daten!$B$8:$E$57,4,FALSE))</f>
        <v>1.2</v>
      </c>
      <c r="L47" s="161">
        <f t="shared" si="0"/>
      </c>
      <c r="M47" s="108"/>
      <c r="N47" s="108"/>
      <c r="O47" s="108"/>
      <c r="P47" s="161">
        <f t="shared" si="2"/>
        <v>0</v>
      </c>
      <c r="Q47" s="161">
        <f t="shared" si="3"/>
      </c>
      <c r="R47" s="289"/>
      <c r="S47" s="52"/>
      <c r="T47" s="52"/>
      <c r="U47" s="144"/>
      <c r="X47" s="145" t="s">
        <v>618</v>
      </c>
      <c r="Y47" s="483">
        <f>IF(Y48&lt;Y54,(Y54-Y48)*1.2,IF(Y48&gt;Y55,(Y48-Y55)*-1.2,0))/100</f>
        <v>0</v>
      </c>
      <c r="Z47" s="145"/>
      <c r="AA47" s="269"/>
      <c r="AB47" s="146"/>
      <c r="AC47" s="147"/>
      <c r="AD47" s="147"/>
      <c r="AE47" s="147"/>
      <c r="AF47" s="162"/>
      <c r="AG47" s="165"/>
      <c r="AJ47" s="162"/>
      <c r="AK47" s="202"/>
      <c r="AL47" s="171"/>
      <c r="AM47" s="171"/>
      <c r="AN47" s="171"/>
      <c r="AO47" s="171"/>
      <c r="AP47" s="171"/>
      <c r="AQ47" s="171"/>
      <c r="AR47" s="171"/>
      <c r="AS47" s="171"/>
      <c r="AT47" s="171"/>
    </row>
    <row r="48" spans="1:47" ht="12.75" customHeight="1">
      <c r="A48" s="53"/>
      <c r="B48" s="274" t="str">
        <f>Texte!A125</f>
        <v>Mutterkühe leicht (450 kg)</v>
      </c>
      <c r="C48" s="272"/>
      <c r="D48" s="272"/>
      <c r="E48" s="272"/>
      <c r="F48" s="2" t="str">
        <f>IF($B48="","",VLOOKUP($B48,Daten!$B$8:$E$57,2,FALSE))</f>
        <v>1 Stück</v>
      </c>
      <c r="G48" s="106"/>
      <c r="H48" s="108"/>
      <c r="I48" s="108"/>
      <c r="J48" s="160">
        <f t="shared" si="1"/>
        <v>0</v>
      </c>
      <c r="K48" s="3">
        <f>IF($B48="","",VLOOKUP($B48,Daten!$B$8:$E$57,4,FALSE))</f>
        <v>35</v>
      </c>
      <c r="L48" s="161">
        <f t="shared" si="0"/>
      </c>
      <c r="M48" s="108"/>
      <c r="N48" s="108"/>
      <c r="O48" s="108"/>
      <c r="P48" s="161">
        <f t="shared" si="2"/>
        <v>0</v>
      </c>
      <c r="Q48" s="161">
        <f t="shared" si="3"/>
      </c>
      <c r="R48" s="289"/>
      <c r="S48" s="52"/>
      <c r="T48" s="52"/>
      <c r="X48" s="336" t="s">
        <v>585</v>
      </c>
      <c r="Y48" s="483">
        <f>IF(G42=0,0,M42/J42*100)</f>
        <v>0</v>
      </c>
      <c r="Z48" s="145"/>
      <c r="AA48" s="269"/>
      <c r="AB48" s="146"/>
      <c r="AC48" s="147"/>
      <c r="AD48" s="147"/>
      <c r="AE48" s="147"/>
      <c r="AF48" s="162"/>
      <c r="AG48" s="165"/>
      <c r="AJ48" s="162"/>
      <c r="AK48" s="202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</row>
    <row r="49" spans="1:47" ht="12.75" customHeight="1">
      <c r="A49" s="53"/>
      <c r="B49" s="274" t="str">
        <f>Texte!A131</f>
        <v>Mutterkuhkälber leicht, ca 350 kg</v>
      </c>
      <c r="C49" s="272"/>
      <c r="D49" s="272"/>
      <c r="E49" s="272"/>
      <c r="F49" s="2" t="str">
        <f>IF($B49="","",VLOOKUP($B49,Daten!$B$8:$E$57,2,FALSE))</f>
        <v>1 Platz</v>
      </c>
      <c r="G49" s="106"/>
      <c r="H49" s="108"/>
      <c r="I49" s="108"/>
      <c r="J49" s="160">
        <f t="shared" si="1"/>
        <v>0</v>
      </c>
      <c r="K49" s="3">
        <f>IF($B49="","",VLOOKUP($B49,Daten!$B$8:$E$57,4,FALSE))</f>
        <v>13.2</v>
      </c>
      <c r="L49" s="161">
        <f t="shared" si="0"/>
      </c>
      <c r="M49" s="108"/>
      <c r="N49" s="108"/>
      <c r="O49" s="108"/>
      <c r="P49" s="161">
        <f t="shared" si="2"/>
        <v>0</v>
      </c>
      <c r="Q49" s="161">
        <f t="shared" si="3"/>
      </c>
      <c r="R49" s="289"/>
      <c r="S49" s="52"/>
      <c r="T49" s="52"/>
      <c r="X49" s="145"/>
      <c r="Y49" s="275"/>
      <c r="Z49" s="145"/>
      <c r="AA49" s="269"/>
      <c r="AB49" s="146"/>
      <c r="AC49" s="147"/>
      <c r="AD49" s="147"/>
      <c r="AE49" s="147"/>
      <c r="AF49" s="162"/>
      <c r="AG49" s="165"/>
      <c r="AJ49" s="162"/>
      <c r="AK49" s="202"/>
      <c r="AL49" s="228"/>
      <c r="AM49" s="171"/>
      <c r="AN49" s="171"/>
      <c r="AO49" s="229"/>
      <c r="AP49" s="171"/>
      <c r="AQ49" s="171"/>
      <c r="AR49" s="171"/>
      <c r="AS49" s="171"/>
      <c r="AT49" s="171"/>
      <c r="AU49" s="171"/>
    </row>
    <row r="50" spans="1:47" ht="12.75" customHeight="1">
      <c r="A50" s="53"/>
      <c r="B50" s="274" t="str">
        <f>Texte!A124</f>
        <v>Mutterkühe schwer (&gt;= 600 kg)</v>
      </c>
      <c r="C50" s="272"/>
      <c r="D50" s="272"/>
      <c r="E50" s="272"/>
      <c r="F50" s="2" t="str">
        <f>IF($B50="","",VLOOKUP($B50,Daten!$B$8:$E$57,2,FALSE))</f>
        <v>1 Stück</v>
      </c>
      <c r="G50" s="106"/>
      <c r="H50" s="108"/>
      <c r="I50" s="108"/>
      <c r="J50" s="160">
        <f t="shared" si="1"/>
        <v>0</v>
      </c>
      <c r="K50" s="3">
        <f>IF($B50="","",VLOOKUP($B50,Daten!$B$8:$E$57,4,FALSE))</f>
        <v>40</v>
      </c>
      <c r="L50" s="161">
        <f t="shared" si="0"/>
      </c>
      <c r="M50" s="108"/>
      <c r="N50" s="108"/>
      <c r="O50" s="108"/>
      <c r="P50" s="161">
        <f t="shared" si="2"/>
        <v>0</v>
      </c>
      <c r="Q50" s="161">
        <f t="shared" si="3"/>
      </c>
      <c r="R50" s="289"/>
      <c r="S50" s="52"/>
      <c r="T50" s="52"/>
      <c r="X50" s="145" t="s">
        <v>615</v>
      </c>
      <c r="Y50" s="483">
        <f>LOOKUP($E$41,W33:W44,X33:X44)</f>
        <v>0</v>
      </c>
      <c r="Z50" s="145"/>
      <c r="AA50" s="269"/>
      <c r="AB50" s="146"/>
      <c r="AC50" s="147"/>
      <c r="AD50" s="147"/>
      <c r="AE50" s="147"/>
      <c r="AF50" s="162"/>
      <c r="AG50" s="165"/>
      <c r="AJ50" s="162"/>
      <c r="AK50" s="202"/>
      <c r="AL50" s="648"/>
      <c r="AM50" s="649"/>
      <c r="AN50" s="649"/>
      <c r="AO50" s="650"/>
      <c r="AP50" s="171"/>
      <c r="AQ50" s="171"/>
      <c r="AR50" s="171"/>
      <c r="AS50" s="171"/>
      <c r="AT50" s="171"/>
      <c r="AU50" s="171"/>
    </row>
    <row r="51" spans="1:46" ht="12.75" customHeight="1">
      <c r="A51" s="53"/>
      <c r="B51" s="274" t="str">
        <f>Texte!A132</f>
        <v>Mutterkuhkälber schwer, ca 400 kg</v>
      </c>
      <c r="C51" s="272"/>
      <c r="D51" s="272"/>
      <c r="E51" s="272"/>
      <c r="F51" s="2" t="str">
        <f>IF($B51="","",VLOOKUP($B51,Daten!$B$8:$E$57,2,FALSE))</f>
        <v>1 Platz</v>
      </c>
      <c r="G51" s="106"/>
      <c r="H51" s="108"/>
      <c r="I51" s="108"/>
      <c r="J51" s="160">
        <f t="shared" si="1"/>
        <v>0</v>
      </c>
      <c r="K51" s="3">
        <f>IF($B51="","",VLOOKUP($B51,Daten!$B$8:$E$57,4,FALSE))</f>
        <v>19.2</v>
      </c>
      <c r="L51" s="161">
        <f t="shared" si="0"/>
      </c>
      <c r="M51" s="108"/>
      <c r="N51" s="108"/>
      <c r="O51" s="108"/>
      <c r="P51" s="161">
        <f t="shared" si="2"/>
        <v>0</v>
      </c>
      <c r="Q51" s="161">
        <f t="shared" si="3"/>
      </c>
      <c r="R51" s="289"/>
      <c r="S51" s="52"/>
      <c r="T51" s="52"/>
      <c r="X51" s="145"/>
      <c r="Y51" s="483">
        <f>LOOKUP($E$41,W33:W44,Y33:Y44)</f>
        <v>500</v>
      </c>
      <c r="Z51" s="145"/>
      <c r="AA51" s="269"/>
      <c r="AB51" s="146"/>
      <c r="AC51" s="147"/>
      <c r="AD51" s="147"/>
      <c r="AE51" s="147"/>
      <c r="AF51" s="162"/>
      <c r="AG51" s="165"/>
      <c r="AJ51" s="162"/>
      <c r="AK51" s="202"/>
      <c r="AL51" s="171"/>
      <c r="AM51" s="171"/>
      <c r="AN51" s="171"/>
      <c r="AO51" s="171"/>
      <c r="AP51" s="171"/>
      <c r="AQ51" s="171"/>
      <c r="AR51" s="171"/>
      <c r="AS51" s="171"/>
      <c r="AT51" s="171"/>
    </row>
    <row r="52" spans="1:47" ht="12.75" customHeight="1">
      <c r="A52" s="53"/>
      <c r="B52" s="274" t="str">
        <f>Texte!A126</f>
        <v>Ammenkühe 2 Kälber / Jahr, ohne Kälber</v>
      </c>
      <c r="C52" s="272"/>
      <c r="D52" s="272"/>
      <c r="E52" s="272"/>
      <c r="F52" s="2" t="str">
        <f>IF($B52="","",VLOOKUP($B52,Daten!$B$8:$E$57,2,FALSE))</f>
        <v>1 Stück</v>
      </c>
      <c r="G52" s="106"/>
      <c r="H52" s="108"/>
      <c r="I52" s="108"/>
      <c r="J52" s="160">
        <f t="shared" si="1"/>
        <v>0</v>
      </c>
      <c r="K52" s="3">
        <f>IF($B52="","",VLOOKUP($B52,Daten!$B$8:$E$57,4,FALSE))</f>
        <v>45</v>
      </c>
      <c r="L52" s="161">
        <f t="shared" si="0"/>
      </c>
      <c r="M52" s="108"/>
      <c r="N52" s="108"/>
      <c r="O52" s="108"/>
      <c r="P52" s="161">
        <f t="shared" si="2"/>
        <v>0</v>
      </c>
      <c r="Q52" s="161">
        <f t="shared" si="3"/>
      </c>
      <c r="R52" s="289"/>
      <c r="S52" s="52"/>
      <c r="T52" s="52"/>
      <c r="X52" s="145"/>
      <c r="Y52" s="277"/>
      <c r="Z52" s="145"/>
      <c r="AA52" s="269"/>
      <c r="AB52" s="146"/>
      <c r="AC52" s="147"/>
      <c r="AD52" s="147"/>
      <c r="AE52" s="147"/>
      <c r="AF52" s="162"/>
      <c r="AG52" s="165"/>
      <c r="AJ52" s="162"/>
      <c r="AK52" s="202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</row>
    <row r="53" spans="1:47" ht="12.75" customHeight="1">
      <c r="A53" s="53"/>
      <c r="B53" s="640"/>
      <c r="C53" s="641"/>
      <c r="D53" s="641"/>
      <c r="E53" s="641"/>
      <c r="F53" s="2">
        <f>IF($B53="","",VLOOKUP($B53,Daten!$B$8:$E$57,2,FALSE))</f>
      </c>
      <c r="G53" s="106"/>
      <c r="H53" s="108"/>
      <c r="I53" s="108"/>
      <c r="J53" s="160">
        <f t="shared" si="1"/>
        <v>0</v>
      </c>
      <c r="K53" s="3">
        <f>IF($B53="","",VLOOKUP($B53,Daten!$B$8:$E$57,4,FALSE))</f>
      </c>
      <c r="L53" s="161">
        <f t="shared" si="0"/>
      </c>
      <c r="M53" s="108"/>
      <c r="N53" s="108"/>
      <c r="O53" s="108"/>
      <c r="P53" s="161">
        <f t="shared" si="2"/>
        <v>0</v>
      </c>
      <c r="Q53" s="161">
        <f t="shared" si="3"/>
      </c>
      <c r="R53" s="289"/>
      <c r="S53" s="52"/>
      <c r="T53" s="52"/>
      <c r="X53" s="145"/>
      <c r="Y53" s="275"/>
      <c r="Z53" s="145"/>
      <c r="AA53" s="269"/>
      <c r="AB53" s="146"/>
      <c r="AC53" s="147"/>
      <c r="AD53" s="147"/>
      <c r="AE53" s="147"/>
      <c r="AF53" s="162"/>
      <c r="AG53" s="165"/>
      <c r="AJ53" s="162"/>
      <c r="AK53" s="202"/>
      <c r="AL53" s="228"/>
      <c r="AM53" s="171"/>
      <c r="AN53" s="171"/>
      <c r="AO53" s="229"/>
      <c r="AP53" s="171"/>
      <c r="AQ53" s="171"/>
      <c r="AR53" s="171"/>
      <c r="AS53" s="171"/>
      <c r="AT53" s="171"/>
      <c r="AU53" s="171"/>
    </row>
    <row r="54" spans="1:47" ht="12.75" customHeight="1">
      <c r="A54" s="278"/>
      <c r="B54" s="640"/>
      <c r="C54" s="641"/>
      <c r="D54" s="641"/>
      <c r="E54" s="641"/>
      <c r="F54" s="2">
        <f>IF($B54="","",VLOOKUP($B54,Daten!$B$8:$E$57,2,FALSE))</f>
      </c>
      <c r="G54" s="106"/>
      <c r="H54" s="108"/>
      <c r="I54" s="108"/>
      <c r="J54" s="160">
        <f t="shared" si="1"/>
        <v>0</v>
      </c>
      <c r="K54" s="3">
        <f>IF($B54="","",VLOOKUP($B54,Daten!$B$8:$E$57,4,FALSE))</f>
      </c>
      <c r="L54" s="161">
        <f t="shared" si="0"/>
      </c>
      <c r="M54" s="108"/>
      <c r="N54" s="108"/>
      <c r="O54" s="108"/>
      <c r="P54" s="161">
        <f t="shared" si="2"/>
        <v>0</v>
      </c>
      <c r="Q54" s="161">
        <f t="shared" si="3"/>
      </c>
      <c r="R54" s="289"/>
      <c r="S54" s="52"/>
      <c r="T54" s="52"/>
      <c r="X54" s="145" t="s">
        <v>614</v>
      </c>
      <c r="Y54" s="483">
        <f>LOOKUP($E$42,$W33:$W44,$X33:$X44)</f>
        <v>0</v>
      </c>
      <c r="Z54" s="145"/>
      <c r="AA54" s="269"/>
      <c r="AB54" s="146"/>
      <c r="AC54" s="147"/>
      <c r="AD54" s="147"/>
      <c r="AE54" s="147"/>
      <c r="AF54" s="162"/>
      <c r="AG54" s="165"/>
      <c r="AJ54" s="162"/>
      <c r="AK54" s="202"/>
      <c r="AL54" s="648"/>
      <c r="AM54" s="649"/>
      <c r="AN54" s="649"/>
      <c r="AO54" s="650"/>
      <c r="AP54" s="171"/>
      <c r="AQ54" s="171"/>
      <c r="AR54" s="171"/>
      <c r="AS54" s="171"/>
      <c r="AT54" s="171"/>
      <c r="AU54" s="171"/>
    </row>
    <row r="55" spans="1:46" ht="12.75" customHeight="1">
      <c r="A55" s="278"/>
      <c r="B55" s="640"/>
      <c r="C55" s="647"/>
      <c r="D55" s="647"/>
      <c r="E55" s="647"/>
      <c r="F55" s="2">
        <f>IF($B55="","",VLOOKUP($B55,Daten!$B$8:$E$57,2,FALSE))</f>
      </c>
      <c r="G55" s="106"/>
      <c r="H55" s="108"/>
      <c r="I55" s="108"/>
      <c r="J55" s="160">
        <f t="shared" si="1"/>
        <v>0</v>
      </c>
      <c r="K55" s="3">
        <f>IF($B55="","",VLOOKUP($B55,Daten!$B$8:$E$57,4,FALSE))</f>
      </c>
      <c r="L55" s="161">
        <f t="shared" si="0"/>
      </c>
      <c r="M55" s="108"/>
      <c r="N55" s="108"/>
      <c r="O55" s="108"/>
      <c r="P55" s="161">
        <f t="shared" si="2"/>
        <v>0</v>
      </c>
      <c r="Q55" s="161">
        <f t="shared" si="3"/>
      </c>
      <c r="R55" s="289"/>
      <c r="S55" s="52"/>
      <c r="T55" s="52"/>
      <c r="X55" s="268"/>
      <c r="Y55" s="483">
        <f>LOOKUP($E$42,$W33:$W44,$Y33:$Y44)</f>
        <v>500</v>
      </c>
      <c r="Z55" s="145"/>
      <c r="AA55" s="269"/>
      <c r="AB55" s="146"/>
      <c r="AC55" s="147"/>
      <c r="AD55" s="147"/>
      <c r="AE55" s="147"/>
      <c r="AF55" s="162"/>
      <c r="AG55" s="165"/>
      <c r="AJ55" s="162"/>
      <c r="AK55" s="202"/>
      <c r="AL55" s="171"/>
      <c r="AM55" s="171"/>
      <c r="AN55" s="171"/>
      <c r="AO55" s="171"/>
      <c r="AP55" s="171"/>
      <c r="AQ55" s="171"/>
      <c r="AR55" s="171"/>
      <c r="AS55" s="171"/>
      <c r="AT55" s="171"/>
    </row>
    <row r="56" spans="1:47" ht="12.75" customHeight="1">
      <c r="A56" s="278"/>
      <c r="B56" s="640"/>
      <c r="C56" s="647"/>
      <c r="D56" s="647"/>
      <c r="E56" s="647"/>
      <c r="F56" s="2">
        <f>IF($B56="","",VLOOKUP($B56,Daten!$B$8:$E$57,2,FALSE))</f>
      </c>
      <c r="G56" s="106"/>
      <c r="H56" s="108"/>
      <c r="I56" s="108"/>
      <c r="J56" s="160">
        <f t="shared" si="1"/>
        <v>0</v>
      </c>
      <c r="K56" s="3">
        <f>IF($B56="","",VLOOKUP($B56,Daten!$B$8:$E$57,4,FALSE))</f>
      </c>
      <c r="L56" s="161">
        <f t="shared" si="0"/>
      </c>
      <c r="M56" s="108"/>
      <c r="N56" s="108"/>
      <c r="O56" s="108"/>
      <c r="P56" s="161">
        <f t="shared" si="2"/>
        <v>0</v>
      </c>
      <c r="Q56" s="161">
        <f t="shared" si="3"/>
      </c>
      <c r="R56" s="289"/>
      <c r="S56" s="52"/>
      <c r="T56" s="52"/>
      <c r="V56" s="268"/>
      <c r="W56" s="214"/>
      <c r="X56" s="215"/>
      <c r="Y56" s="215"/>
      <c r="Z56" s="145"/>
      <c r="AA56" s="269"/>
      <c r="AB56" s="146"/>
      <c r="AC56" s="147"/>
      <c r="AD56" s="147"/>
      <c r="AE56" s="147"/>
      <c r="AF56" s="162"/>
      <c r="AG56" s="165"/>
      <c r="AJ56" s="162"/>
      <c r="AK56" s="202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</row>
    <row r="57" spans="1:47" ht="12.75" customHeight="1">
      <c r="A57" s="278"/>
      <c r="B57" s="638"/>
      <c r="C57" s="644"/>
      <c r="D57" s="644"/>
      <c r="E57" s="644"/>
      <c r="F57" s="2">
        <f>IF($B57="","",VLOOKUP($B57,Daten!$B$8:$E$57,2,FALSE))</f>
      </c>
      <c r="G57" s="106"/>
      <c r="H57" s="108"/>
      <c r="I57" s="108"/>
      <c r="J57" s="160">
        <f>IF(OR(AND(H57&lt;0,G57&lt;ABS(H57)),I57&gt;365),"!",G57+(H57*I57/365))</f>
        <v>0</v>
      </c>
      <c r="K57" s="3">
        <f>IF($B57="","",VLOOKUP($B57,Daten!$B$8:$E$57,4,FALSE))</f>
      </c>
      <c r="L57" s="161">
        <f>IF(J57&gt;0,J57*K57,"")</f>
      </c>
      <c r="M57" s="108"/>
      <c r="N57" s="108"/>
      <c r="O57" s="108"/>
      <c r="P57" s="161">
        <f t="shared" si="2"/>
        <v>0</v>
      </c>
      <c r="Q57" s="161">
        <f t="shared" si="3"/>
      </c>
      <c r="R57" s="289"/>
      <c r="S57" s="464"/>
      <c r="T57" s="52"/>
      <c r="U57" s="144"/>
      <c r="Z57" s="145"/>
      <c r="AA57" s="269"/>
      <c r="AB57" s="146"/>
      <c r="AC57" s="147"/>
      <c r="AD57" s="147"/>
      <c r="AE57" s="147"/>
      <c r="AF57" s="162"/>
      <c r="AG57" s="165"/>
      <c r="AJ57" s="162"/>
      <c r="AK57" s="171"/>
      <c r="AL57" s="228"/>
      <c r="AM57" s="171"/>
      <c r="AN57" s="171"/>
      <c r="AO57" s="229"/>
      <c r="AP57" s="171"/>
      <c r="AQ57" s="171"/>
      <c r="AR57" s="171"/>
      <c r="AS57" s="171"/>
      <c r="AT57" s="171"/>
      <c r="AU57" s="171"/>
    </row>
    <row r="58" spans="1:47" ht="12.75" customHeight="1">
      <c r="A58" s="278"/>
      <c r="B58" s="279" t="str">
        <f>Texte!A140</f>
        <v>weitere Raufutterverzehrende Tiere</v>
      </c>
      <c r="C58" s="280"/>
      <c r="D58" s="280"/>
      <c r="E58" s="280"/>
      <c r="F58" s="75"/>
      <c r="G58" s="76"/>
      <c r="H58" s="77"/>
      <c r="I58" s="77"/>
      <c r="J58" s="281"/>
      <c r="K58" s="78"/>
      <c r="L58" s="282"/>
      <c r="M58" s="79"/>
      <c r="N58" s="77"/>
      <c r="O58" s="77"/>
      <c r="P58" s="282"/>
      <c r="Q58" s="282"/>
      <c r="R58" s="79"/>
      <c r="S58" s="465"/>
      <c r="T58" s="52"/>
      <c r="U58" s="144"/>
      <c r="Z58" s="145"/>
      <c r="AA58" s="269"/>
      <c r="AB58" s="146"/>
      <c r="AC58" s="147"/>
      <c r="AD58" s="147"/>
      <c r="AE58" s="147"/>
      <c r="AF58" s="162"/>
      <c r="AG58" s="165"/>
      <c r="AJ58" s="162"/>
      <c r="AK58" s="171"/>
      <c r="AL58" s="228"/>
      <c r="AM58" s="171"/>
      <c r="AN58" s="171"/>
      <c r="AO58" s="229"/>
      <c r="AP58" s="171"/>
      <c r="AQ58" s="171"/>
      <c r="AR58" s="171"/>
      <c r="AS58" s="171"/>
      <c r="AT58" s="171"/>
      <c r="AU58" s="171"/>
    </row>
    <row r="59" spans="1:47" ht="12.75" customHeight="1">
      <c r="A59" s="53"/>
      <c r="B59" s="645" t="str">
        <f>Texte!A149</f>
        <v>Milchschafe (inkl.Jungtiere)</v>
      </c>
      <c r="C59" s="646"/>
      <c r="D59" s="646"/>
      <c r="E59" s="646"/>
      <c r="F59" s="2" t="str">
        <f>IF($B59="","",VLOOKUP($B59,Daten!$B$8:$E$57,2,FALSE))</f>
        <v>1 Platz</v>
      </c>
      <c r="G59" s="106"/>
      <c r="H59" s="108"/>
      <c r="I59" s="108"/>
      <c r="J59" s="160">
        <f>IF(OR(AND(H59&lt;0,G59&lt;ABS(H59)),I59&gt;365),"!",G59+(H59*I59/365))</f>
        <v>0</v>
      </c>
      <c r="K59" s="3">
        <f>IF($B59="","",VLOOKUP($B59,Daten!$B$8:$E$57,4,FALSE))</f>
        <v>11</v>
      </c>
      <c r="L59" s="161">
        <f>IF(J59&gt;0,J59*K59,"")</f>
      </c>
      <c r="M59" s="108"/>
      <c r="N59" s="108"/>
      <c r="O59" s="108"/>
      <c r="P59" s="161">
        <f t="shared" si="2"/>
        <v>0</v>
      </c>
      <c r="Q59" s="161">
        <f aca="true" t="shared" si="4" ref="Q59:Q64">IF($N59=0,"",$K59*$P59/365)</f>
      </c>
      <c r="R59" s="108"/>
      <c r="S59" s="479"/>
      <c r="T59" s="52"/>
      <c r="U59" s="144"/>
      <c r="V59" s="268"/>
      <c r="W59" s="194"/>
      <c r="X59" s="276"/>
      <c r="Y59" s="276"/>
      <c r="Z59" s="145"/>
      <c r="AA59" s="269"/>
      <c r="AB59" s="146"/>
      <c r="AC59" s="147"/>
      <c r="AD59" s="147"/>
      <c r="AE59" s="147"/>
      <c r="AF59" s="162"/>
      <c r="AG59" s="165"/>
      <c r="AJ59" s="162"/>
      <c r="AK59" s="171"/>
      <c r="AL59" s="648"/>
      <c r="AM59" s="649"/>
      <c r="AN59" s="649"/>
      <c r="AO59" s="650"/>
      <c r="AP59" s="171"/>
      <c r="AQ59" s="171"/>
      <c r="AR59" s="171"/>
      <c r="AS59" s="171"/>
      <c r="AT59" s="171"/>
      <c r="AU59" s="171"/>
    </row>
    <row r="60" spans="1:46" ht="12.75" customHeight="1">
      <c r="A60" s="53"/>
      <c r="B60" s="642" t="str">
        <f>Texte!A147</f>
        <v>Ziegenplatz (inkl. Juntiere und Anteil Bock)</v>
      </c>
      <c r="C60" s="643"/>
      <c r="D60" s="643"/>
      <c r="E60" s="643"/>
      <c r="F60" s="2" t="str">
        <f>IF($B60="","",VLOOKUP($B60,Daten!$B$8:$E$57,2,FALSE))</f>
        <v>1 Platz</v>
      </c>
      <c r="G60" s="106"/>
      <c r="H60" s="108"/>
      <c r="I60" s="108"/>
      <c r="J60" s="160">
        <f t="shared" si="1"/>
        <v>0</v>
      </c>
      <c r="K60" s="3">
        <f>IF($B60="","",VLOOKUP($B60,Daten!$B$8:$E$57,4,FALSE))</f>
        <v>6.8</v>
      </c>
      <c r="L60" s="161">
        <f aca="true" t="shared" si="5" ref="L60:L68">IF(J60&gt;0,J60*K60,"")</f>
      </c>
      <c r="M60" s="108"/>
      <c r="N60" s="108"/>
      <c r="O60" s="108"/>
      <c r="P60" s="161">
        <f t="shared" si="2"/>
        <v>0</v>
      </c>
      <c r="Q60" s="161">
        <f t="shared" si="4"/>
      </c>
      <c r="R60" s="108"/>
      <c r="S60" s="479"/>
      <c r="T60" s="52"/>
      <c r="U60" s="148"/>
      <c r="V60" s="148"/>
      <c r="W60" s="194"/>
      <c r="X60" s="148"/>
      <c r="Y60" s="148"/>
      <c r="Z60" s="145"/>
      <c r="AA60" s="269"/>
      <c r="AB60" s="146"/>
      <c r="AC60" s="147"/>
      <c r="AD60" s="147"/>
      <c r="AE60" s="147"/>
      <c r="AF60" s="149"/>
      <c r="AG60" s="283"/>
      <c r="AH60" s="173"/>
      <c r="AI60" s="173"/>
      <c r="AJ60" s="173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</row>
    <row r="61" spans="1:47" ht="12.75" customHeight="1">
      <c r="A61" s="53"/>
      <c r="B61" s="640"/>
      <c r="C61" s="641"/>
      <c r="D61" s="641"/>
      <c r="E61" s="641"/>
      <c r="F61" s="2">
        <f>IF($B61="","",VLOOKUP($B61,Daten!$B$8:$E$57,2,FALSE))</f>
      </c>
      <c r="G61" s="106"/>
      <c r="H61" s="108"/>
      <c r="I61" s="108"/>
      <c r="J61" s="160">
        <f t="shared" si="1"/>
        <v>0</v>
      </c>
      <c r="K61" s="3">
        <f>IF($B61="","",VLOOKUP($B61,Daten!$B$8:$E$57,4,FALSE))</f>
      </c>
      <c r="L61" s="161">
        <f t="shared" si="5"/>
      </c>
      <c r="M61" s="108"/>
      <c r="N61" s="108"/>
      <c r="O61" s="108"/>
      <c r="P61" s="161">
        <f t="shared" si="2"/>
        <v>0</v>
      </c>
      <c r="Q61" s="161">
        <f t="shared" si="4"/>
      </c>
      <c r="R61" s="289"/>
      <c r="S61" s="479"/>
      <c r="T61" s="52"/>
      <c r="U61" s="148"/>
      <c r="V61" s="148"/>
      <c r="W61" s="194"/>
      <c r="X61" s="148"/>
      <c r="Y61" s="148"/>
      <c r="Z61" s="145"/>
      <c r="AA61" s="269"/>
      <c r="AB61" s="146"/>
      <c r="AC61" s="147"/>
      <c r="AD61" s="147"/>
      <c r="AE61" s="147"/>
      <c r="AF61" s="149"/>
      <c r="AG61" s="283"/>
      <c r="AH61" s="173"/>
      <c r="AI61" s="173"/>
      <c r="AJ61" s="173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</row>
    <row r="62" spans="1:47" ht="12.75" customHeight="1">
      <c r="A62" s="53"/>
      <c r="B62" s="640"/>
      <c r="C62" s="641"/>
      <c r="D62" s="641"/>
      <c r="E62" s="641"/>
      <c r="F62" s="2">
        <f>IF($B62="","",VLOOKUP($B62,Daten!$B$8:$E$57,2,FALSE))</f>
      </c>
      <c r="G62" s="106"/>
      <c r="H62" s="108"/>
      <c r="I62" s="108"/>
      <c r="J62" s="160">
        <f t="shared" si="1"/>
        <v>0</v>
      </c>
      <c r="K62" s="3">
        <f>IF($B62="","",VLOOKUP($B62,Daten!$B$8:$E$57,4,FALSE))</f>
      </c>
      <c r="L62" s="161">
        <f t="shared" si="5"/>
      </c>
      <c r="M62" s="108"/>
      <c r="N62" s="108"/>
      <c r="O62" s="108"/>
      <c r="P62" s="161">
        <f t="shared" si="2"/>
        <v>0</v>
      </c>
      <c r="Q62" s="161">
        <f t="shared" si="4"/>
      </c>
      <c r="R62" s="289"/>
      <c r="S62" s="479"/>
      <c r="T62" s="52"/>
      <c r="U62" s="148"/>
      <c r="V62" s="148"/>
      <c r="W62" s="194"/>
      <c r="X62" s="148"/>
      <c r="Y62" s="148"/>
      <c r="Z62" s="145"/>
      <c r="AA62" s="269"/>
      <c r="AB62" s="146"/>
      <c r="AC62" s="147"/>
      <c r="AD62" s="147"/>
      <c r="AE62" s="147"/>
      <c r="AF62" s="149"/>
      <c r="AG62" s="283"/>
      <c r="AH62" s="173"/>
      <c r="AI62" s="173"/>
      <c r="AJ62" s="173"/>
      <c r="AK62" s="171"/>
      <c r="AL62" s="228"/>
      <c r="AM62" s="171"/>
      <c r="AN62" s="171"/>
      <c r="AO62" s="229"/>
      <c r="AP62" s="171"/>
      <c r="AQ62" s="171"/>
      <c r="AR62" s="171"/>
      <c r="AS62" s="171"/>
      <c r="AT62" s="171"/>
      <c r="AU62" s="171"/>
    </row>
    <row r="63" spans="1:47" ht="12.75" customHeight="1">
      <c r="A63" s="53"/>
      <c r="B63" s="640"/>
      <c r="C63" s="641"/>
      <c r="D63" s="641"/>
      <c r="E63" s="641"/>
      <c r="F63" s="2">
        <f>IF($B63="","",VLOOKUP($B63,Daten!$B$8:$E$57,2,FALSE))</f>
      </c>
      <c r="G63" s="106"/>
      <c r="H63" s="108"/>
      <c r="I63" s="108"/>
      <c r="J63" s="160">
        <f t="shared" si="1"/>
        <v>0</v>
      </c>
      <c r="K63" s="3">
        <f>IF($B63="","",VLOOKUP($B63,Daten!$B$8:$E$57,4,FALSE))</f>
      </c>
      <c r="L63" s="161">
        <f t="shared" si="5"/>
      </c>
      <c r="M63" s="108"/>
      <c r="N63" s="108"/>
      <c r="O63" s="108"/>
      <c r="P63" s="161">
        <f t="shared" si="2"/>
        <v>0</v>
      </c>
      <c r="Q63" s="161">
        <f t="shared" si="4"/>
      </c>
      <c r="R63" s="289"/>
      <c r="S63" s="479"/>
      <c r="T63" s="52"/>
      <c r="U63" s="148"/>
      <c r="V63" s="148"/>
      <c r="W63" s="194"/>
      <c r="X63" s="148"/>
      <c r="Y63" s="148"/>
      <c r="Z63" s="145"/>
      <c r="AA63" s="269"/>
      <c r="AB63" s="146"/>
      <c r="AC63" s="147"/>
      <c r="AD63" s="147"/>
      <c r="AE63" s="147"/>
      <c r="AF63" s="149"/>
      <c r="AG63" s="283"/>
      <c r="AH63" s="173"/>
      <c r="AI63" s="173"/>
      <c r="AJ63" s="173"/>
      <c r="AK63" s="171"/>
      <c r="AL63" s="648"/>
      <c r="AM63" s="649"/>
      <c r="AN63" s="649"/>
      <c r="AO63" s="650"/>
      <c r="AP63" s="171"/>
      <c r="AQ63" s="171"/>
      <c r="AR63" s="171"/>
      <c r="AS63" s="171"/>
      <c r="AT63" s="171"/>
      <c r="AU63" s="171"/>
    </row>
    <row r="64" spans="1:47" ht="12.75" customHeight="1">
      <c r="A64" s="53"/>
      <c r="B64" s="640"/>
      <c r="C64" s="641"/>
      <c r="D64" s="641"/>
      <c r="E64" s="641"/>
      <c r="F64" s="2">
        <f>IF($B64="","",VLOOKUP($B64,Daten!$B$8:$E$57,2,FALSE))</f>
      </c>
      <c r="G64" s="106"/>
      <c r="H64" s="108"/>
      <c r="I64" s="108"/>
      <c r="J64" s="160">
        <f>IF(OR(AND(H64&lt;0,G64&lt;ABS(H64)),I64&gt;365),"!",G64+(H64*I64/365))</f>
        <v>0</v>
      </c>
      <c r="K64" s="3">
        <f>IF($B64="","",VLOOKUP($B64,Daten!$B$8:$E$57,4,FALSE))</f>
      </c>
      <c r="L64" s="161">
        <f>IF(J64&gt;0,J64*K64,"")</f>
      </c>
      <c r="M64" s="108"/>
      <c r="N64" s="108"/>
      <c r="O64" s="108"/>
      <c r="P64" s="161">
        <f t="shared" si="2"/>
        <v>0</v>
      </c>
      <c r="Q64" s="161">
        <f t="shared" si="4"/>
      </c>
      <c r="R64" s="296"/>
      <c r="S64" s="479"/>
      <c r="T64" s="52"/>
      <c r="U64" s="148"/>
      <c r="V64" s="148"/>
      <c r="W64" s="505" t="s">
        <v>619</v>
      </c>
      <c r="X64" s="148"/>
      <c r="Z64" s="145"/>
      <c r="AA64" s="269"/>
      <c r="AB64" s="146"/>
      <c r="AC64" s="147"/>
      <c r="AD64" s="147"/>
      <c r="AE64" s="147"/>
      <c r="AF64" s="149"/>
      <c r="AG64" s="283"/>
      <c r="AH64" s="173"/>
      <c r="AI64" s="173"/>
      <c r="AJ64" s="173"/>
      <c r="AK64" s="171"/>
      <c r="AL64" s="245"/>
      <c r="AM64" s="142"/>
      <c r="AN64" s="142"/>
      <c r="AO64" s="143"/>
      <c r="AP64" s="171"/>
      <c r="AQ64" s="171"/>
      <c r="AR64" s="171"/>
      <c r="AS64" s="171"/>
      <c r="AT64" s="171"/>
      <c r="AU64" s="171"/>
    </row>
    <row r="65" spans="1:47" ht="12.75" customHeight="1">
      <c r="A65" s="53"/>
      <c r="B65" s="279" t="str">
        <f>Texte!A160</f>
        <v>übrige Tierkategorien mit GF-Verzehr</v>
      </c>
      <c r="C65" s="280"/>
      <c r="D65" s="280"/>
      <c r="E65" s="280"/>
      <c r="F65" s="75"/>
      <c r="G65" s="76"/>
      <c r="H65" s="77"/>
      <c r="I65" s="77"/>
      <c r="J65" s="281"/>
      <c r="K65" s="78"/>
      <c r="L65" s="282"/>
      <c r="M65" s="79"/>
      <c r="N65" s="281"/>
      <c r="O65" s="78"/>
      <c r="P65" s="282"/>
      <c r="Q65" s="79"/>
      <c r="R65" s="79"/>
      <c r="S65" s="52"/>
      <c r="T65" s="52"/>
      <c r="U65" s="148"/>
      <c r="V65" s="148"/>
      <c r="W65" s="194"/>
      <c r="Y65" s="148" t="s">
        <v>620</v>
      </c>
      <c r="Z65" s="145"/>
      <c r="AA65" s="269"/>
      <c r="AB65" s="146"/>
      <c r="AC65" s="147"/>
      <c r="AD65" s="147"/>
      <c r="AE65" s="147"/>
      <c r="AF65" s="149"/>
      <c r="AG65" s="283"/>
      <c r="AH65" s="173"/>
      <c r="AI65" s="173"/>
      <c r="AJ65" s="173"/>
      <c r="AK65" s="171"/>
      <c r="AL65" s="245"/>
      <c r="AM65" s="142"/>
      <c r="AN65" s="142"/>
      <c r="AO65" s="143"/>
      <c r="AP65" s="171"/>
      <c r="AQ65" s="171"/>
      <c r="AR65" s="171"/>
      <c r="AS65" s="171"/>
      <c r="AT65" s="171"/>
      <c r="AU65" s="171"/>
    </row>
    <row r="66" spans="1:47" ht="12.75" customHeight="1">
      <c r="A66" s="53"/>
      <c r="B66" s="284" t="str">
        <f>Texte!A163</f>
        <v>Strausse &gt; 13 Monate</v>
      </c>
      <c r="C66" s="285"/>
      <c r="D66" s="285"/>
      <c r="E66" s="285"/>
      <c r="F66" s="57" t="str">
        <f>IF($B66="","",VLOOKUP($B66,Daten!$B$8:$E$57,2,FALSE))</f>
        <v>1 Stück</v>
      </c>
      <c r="G66" s="109"/>
      <c r="H66" s="480"/>
      <c r="I66" s="480"/>
      <c r="J66" s="160">
        <f t="shared" si="1"/>
        <v>0</v>
      </c>
      <c r="K66" s="61">
        <f>IF($B66="","",VLOOKUP($B66,Daten!$B$8:$E$57,4,FALSE))</f>
        <v>11</v>
      </c>
      <c r="L66" s="286">
        <f t="shared" si="5"/>
      </c>
      <c r="M66" s="288"/>
      <c r="N66" s="288"/>
      <c r="O66" s="288"/>
      <c r="P66" s="288"/>
      <c r="Q66" s="288"/>
      <c r="R66" s="288"/>
      <c r="S66" s="52"/>
      <c r="T66" s="52"/>
      <c r="U66" s="148"/>
      <c r="V66" s="148"/>
      <c r="W66" s="148" t="str">
        <f>Daten!B48</f>
        <v>Mastschweineplatz / Remonten (25-100 kg)</v>
      </c>
      <c r="Y66" s="275">
        <v>0.5</v>
      </c>
      <c r="Z66" s="145"/>
      <c r="AA66" s="269"/>
      <c r="AB66" s="146"/>
      <c r="AC66" s="147"/>
      <c r="AD66" s="147"/>
      <c r="AE66" s="147"/>
      <c r="AF66" s="149"/>
      <c r="AG66" s="283"/>
      <c r="AH66" s="173"/>
      <c r="AI66" s="173"/>
      <c r="AJ66" s="173"/>
      <c r="AK66" s="171"/>
      <c r="AL66" s="245"/>
      <c r="AM66" s="142"/>
      <c r="AN66" s="142"/>
      <c r="AO66" s="143"/>
      <c r="AP66" s="171"/>
      <c r="AQ66" s="171"/>
      <c r="AR66" s="171"/>
      <c r="AS66" s="171"/>
      <c r="AT66" s="171"/>
      <c r="AU66" s="171"/>
    </row>
    <row r="67" spans="1:46" ht="12.75" customHeight="1">
      <c r="A67" s="53"/>
      <c r="B67" s="284" t="str">
        <f>Texte!A164</f>
        <v>Strausse &lt; 13 Monate</v>
      </c>
      <c r="C67" s="285"/>
      <c r="D67" s="285"/>
      <c r="E67" s="285"/>
      <c r="F67" s="57" t="str">
        <f>IF($B67="","",VLOOKUP($B67,Daten!$B$8:$E$57,2,FALSE))</f>
        <v>1 Stück</v>
      </c>
      <c r="G67" s="109"/>
      <c r="H67" s="481"/>
      <c r="I67" s="481"/>
      <c r="J67" s="160">
        <f t="shared" si="1"/>
        <v>0</v>
      </c>
      <c r="K67" s="61">
        <f>IF($B67="","",VLOOKUP($B67,Daten!$B$8:$E$57,4,FALSE))</f>
        <v>2</v>
      </c>
      <c r="L67" s="286">
        <f t="shared" si="5"/>
      </c>
      <c r="M67" s="289"/>
      <c r="N67" s="289"/>
      <c r="O67" s="289"/>
      <c r="P67" s="289"/>
      <c r="Q67" s="289"/>
      <c r="R67" s="289"/>
      <c r="S67" s="52"/>
      <c r="T67" s="52"/>
      <c r="U67" s="148"/>
      <c r="V67" s="148"/>
      <c r="W67" s="148" t="str">
        <f>Daten!B49</f>
        <v>Mastschweine / Remonten (25-100 kg)</v>
      </c>
      <c r="Y67" s="275">
        <v>0.5</v>
      </c>
      <c r="Z67" s="145"/>
      <c r="AA67" s="269"/>
      <c r="AB67" s="146"/>
      <c r="AC67" s="147"/>
      <c r="AD67" s="147"/>
      <c r="AE67" s="147"/>
      <c r="AF67" s="149"/>
      <c r="AG67" s="283"/>
      <c r="AH67" s="173"/>
      <c r="AI67" s="173"/>
      <c r="AJ67" s="173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</row>
    <row r="68" spans="1:47" ht="12.75" customHeight="1">
      <c r="A68" s="53"/>
      <c r="B68" s="284" t="str">
        <f>Texte!A161</f>
        <v>Kaninchen, Zibben inkl. Jungtiere bis 35 d</v>
      </c>
      <c r="C68" s="285"/>
      <c r="D68" s="285"/>
      <c r="E68" s="285"/>
      <c r="F68" s="57" t="str">
        <f>IF($B68="","",VLOOKUP($B68,Daten!$B$8:$E$57,2,FALSE))</f>
        <v>1 Stück</v>
      </c>
      <c r="G68" s="109"/>
      <c r="H68" s="481"/>
      <c r="I68" s="481"/>
      <c r="J68" s="160">
        <f t="shared" si="1"/>
        <v>0</v>
      </c>
      <c r="K68" s="61">
        <f>IF($B68="","",VLOOKUP($B68,Daten!$B$8:$E$57,4,FALSE))</f>
        <v>0.36</v>
      </c>
      <c r="L68" s="286">
        <f t="shared" si="5"/>
      </c>
      <c r="M68" s="289"/>
      <c r="N68" s="289"/>
      <c r="O68" s="289"/>
      <c r="P68" s="289"/>
      <c r="Q68" s="289"/>
      <c r="R68" s="289"/>
      <c r="S68" s="52"/>
      <c r="T68" s="52"/>
      <c r="U68" s="148"/>
      <c r="V68" s="148"/>
      <c r="W68" s="148" t="str">
        <f>Daten!B50</f>
        <v>Zuchtschweine inkl. Ferkel 25-30 kg</v>
      </c>
      <c r="Y68" s="275">
        <v>6.5</v>
      </c>
      <c r="Z68" s="145"/>
      <c r="AA68" s="269"/>
      <c r="AB68" s="146"/>
      <c r="AC68" s="147"/>
      <c r="AD68" s="147"/>
      <c r="AE68" s="147"/>
      <c r="AF68" s="149"/>
      <c r="AG68" s="283"/>
      <c r="AH68" s="173"/>
      <c r="AI68" s="173"/>
      <c r="AJ68" s="173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</row>
    <row r="69" spans="1:47" ht="12.75" customHeight="1">
      <c r="A69" s="53"/>
      <c r="B69" s="284" t="str">
        <f>Texte!A162</f>
        <v>Kaninchen, Jungtiere ab ca 35 Tagen</v>
      </c>
      <c r="C69" s="290"/>
      <c r="D69" s="290"/>
      <c r="E69" s="290"/>
      <c r="F69" s="2" t="str">
        <f>IF($B69="","",VLOOKUP($B69,Daten!$B$8:$E$57,2,FALSE))</f>
        <v>100 Pl.</v>
      </c>
      <c r="G69" s="106"/>
      <c r="H69" s="481"/>
      <c r="I69" s="481"/>
      <c r="J69" s="160">
        <f t="shared" si="1"/>
        <v>0</v>
      </c>
      <c r="K69" s="62">
        <f>IF($B69="","",VLOOKUP($B69,Daten!$B$8:$E$57,4,FALSE))</f>
        <v>4</v>
      </c>
      <c r="L69" s="291">
        <f>IF(J69&gt;0,J69*K69,"")</f>
      </c>
      <c r="M69" s="289"/>
      <c r="N69" s="289"/>
      <c r="O69" s="289"/>
      <c r="P69" s="289"/>
      <c r="Q69" s="289"/>
      <c r="R69" s="289"/>
      <c r="S69" s="52"/>
      <c r="T69" s="52"/>
      <c r="U69" s="148"/>
      <c r="V69" s="148"/>
      <c r="W69" s="148" t="str">
        <f>Daten!B51</f>
        <v>Galtsauenplatz</v>
      </c>
      <c r="Y69" s="275">
        <v>9</v>
      </c>
      <c r="Z69" s="145"/>
      <c r="AA69" s="269"/>
      <c r="AB69" s="146"/>
      <c r="AC69" s="147"/>
      <c r="AD69" s="147"/>
      <c r="AE69" s="485"/>
      <c r="AF69" s="149"/>
      <c r="AG69" s="283"/>
      <c r="AH69" s="193"/>
      <c r="AI69" s="193"/>
      <c r="AJ69" s="193"/>
      <c r="AK69" s="202"/>
      <c r="AL69" s="228"/>
      <c r="AM69" s="171"/>
      <c r="AN69" s="171"/>
      <c r="AO69" s="229"/>
      <c r="AP69" s="171"/>
      <c r="AQ69" s="171"/>
      <c r="AR69" s="171"/>
      <c r="AS69" s="171"/>
      <c r="AT69" s="171"/>
      <c r="AU69" s="171"/>
    </row>
    <row r="70" spans="1:47" ht="12.75" customHeight="1">
      <c r="A70" s="53"/>
      <c r="B70" s="284" t="str">
        <f>Texte!A167</f>
        <v>Zuchtschweine inkl. Ferkel 25-30 kg</v>
      </c>
      <c r="C70" s="290"/>
      <c r="D70" s="290"/>
      <c r="E70" s="290"/>
      <c r="F70" s="2" t="str">
        <f>IF($B70="","",VLOOKUP($B70,Daten!$B$8:$E$57,2,FALSE))</f>
        <v>1 Platz</v>
      </c>
      <c r="G70" s="106"/>
      <c r="H70" s="481"/>
      <c r="I70" s="481"/>
      <c r="J70" s="160">
        <f t="shared" si="1"/>
        <v>0</v>
      </c>
      <c r="K70" s="104"/>
      <c r="L70" s="161">
        <f>IF(J70&gt;0,J70*K70,"")</f>
      </c>
      <c r="M70" s="289"/>
      <c r="N70" s="289"/>
      <c r="O70" s="289"/>
      <c r="P70" s="289"/>
      <c r="Q70" s="289"/>
      <c r="R70" s="289"/>
      <c r="S70" s="609">
        <f>IF($B70="","",IF(AND($K70&gt;0.5,$K70&lt;=VLOOKUP($B70,W$66:Y$73,3)),Texte!$A$175,IF($K70&lt;=0.5,"",Texte!$A$176)))</f>
      </c>
      <c r="T70" s="52"/>
      <c r="U70" s="148"/>
      <c r="V70" s="148"/>
      <c r="W70" s="148" t="str">
        <f>Daten!B52</f>
        <v>Galtsauen, pro Umtrieb</v>
      </c>
      <c r="Y70" s="275">
        <v>9</v>
      </c>
      <c r="Z70" s="145"/>
      <c r="AA70" s="269"/>
      <c r="AB70" s="146"/>
      <c r="AC70" s="147"/>
      <c r="AD70" s="147"/>
      <c r="AE70" s="485"/>
      <c r="AF70" s="149"/>
      <c r="AG70" s="283"/>
      <c r="AH70" s="292"/>
      <c r="AI70" s="193"/>
      <c r="AJ70" s="193"/>
      <c r="AK70" s="202"/>
      <c r="AL70" s="648"/>
      <c r="AM70" s="649"/>
      <c r="AN70" s="649"/>
      <c r="AO70" s="650"/>
      <c r="AP70" s="171"/>
      <c r="AQ70" s="171"/>
      <c r="AR70" s="171"/>
      <c r="AS70" s="171"/>
      <c r="AT70" s="171"/>
      <c r="AU70" s="171"/>
    </row>
    <row r="71" spans="1:46" ht="12.75" customHeight="1">
      <c r="A71" s="53"/>
      <c r="B71" s="640"/>
      <c r="C71" s="641"/>
      <c r="D71" s="641"/>
      <c r="E71" s="641"/>
      <c r="F71" s="2">
        <f>IF($B71="","",VLOOKUP($B71,Daten!$B$8:$E$57,2,FALSE))</f>
      </c>
      <c r="G71" s="106"/>
      <c r="H71" s="481"/>
      <c r="I71" s="481"/>
      <c r="J71" s="160">
        <f t="shared" si="1"/>
        <v>0</v>
      </c>
      <c r="K71" s="104"/>
      <c r="L71" s="161">
        <f>IF(J71&gt;0,J71*K71,"")</f>
      </c>
      <c r="M71" s="289"/>
      <c r="N71" s="289"/>
      <c r="O71" s="289"/>
      <c r="P71" s="289"/>
      <c r="Q71" s="289"/>
      <c r="R71" s="289"/>
      <c r="S71" s="609">
        <f>IF($B71="","",IF(AND($K71&gt;0.5,$K71&lt;=VLOOKUP($B71,W$66:Y$73,3)),Texte!$A$175,IF($K71&lt;=0.5,"",Texte!$A$176)))</f>
      </c>
      <c r="T71" s="52"/>
      <c r="U71" s="148"/>
      <c r="V71" s="148"/>
      <c r="W71" s="148" t="str">
        <f>Daten!B53</f>
        <v>Zuchtschweine, säugend</v>
      </c>
      <c r="Y71" s="275">
        <v>6.5</v>
      </c>
      <c r="Z71" s="145"/>
      <c r="AA71" s="485"/>
      <c r="AB71" s="269"/>
      <c r="AC71" s="147"/>
      <c r="AD71" s="52"/>
      <c r="AE71" s="485"/>
      <c r="AF71" s="149"/>
      <c r="AG71" s="283"/>
      <c r="AH71" s="173"/>
      <c r="AI71" s="173"/>
      <c r="AJ71" s="173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</row>
    <row r="72" spans="1:47" ht="12.75" customHeight="1">
      <c r="A72" s="53"/>
      <c r="B72" s="640"/>
      <c r="C72" s="641"/>
      <c r="D72" s="641"/>
      <c r="E72" s="641"/>
      <c r="F72" s="2">
        <f>IF($B72="","",VLOOKUP($B72,Daten!$B$8:$E$57,2,FALSE))</f>
      </c>
      <c r="G72" s="106"/>
      <c r="H72" s="481"/>
      <c r="I72" s="481"/>
      <c r="J72" s="160">
        <f t="shared" si="1"/>
        <v>0</v>
      </c>
      <c r="K72" s="104"/>
      <c r="L72" s="161">
        <f>IF(J72&gt;0,J72*K72,"")</f>
      </c>
      <c r="M72" s="289"/>
      <c r="N72" s="289"/>
      <c r="O72" s="289"/>
      <c r="P72" s="289"/>
      <c r="Q72" s="289"/>
      <c r="R72" s="289"/>
      <c r="S72" s="609">
        <f>IF($B72="","",IF(AND($K72&gt;0.5,$K72&lt;=VLOOKUP($B72,W$66:Y$73,3)),Texte!$A$175,IF($K72&lt;=0.5,"",Texte!$A$176)))</f>
      </c>
      <c r="T72" s="52"/>
      <c r="U72" s="148"/>
      <c r="V72" s="148"/>
      <c r="W72" s="148" t="str">
        <f>Daten!B54</f>
        <v>Zuchtschweine, säugend, pro Umtrieb</v>
      </c>
      <c r="Y72" s="275">
        <v>6.5</v>
      </c>
      <c r="Z72" s="145"/>
      <c r="AA72" s="485"/>
      <c r="AB72" s="269"/>
      <c r="AC72" s="147"/>
      <c r="AD72" s="52"/>
      <c r="AE72" s="147"/>
      <c r="AF72" s="149"/>
      <c r="AG72" s="283"/>
      <c r="AH72" s="173"/>
      <c r="AI72" s="173"/>
      <c r="AJ72" s="173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</row>
    <row r="73" spans="1:47" ht="12.75" customHeight="1">
      <c r="A73" s="278"/>
      <c r="B73" s="638"/>
      <c r="C73" s="639"/>
      <c r="D73" s="639"/>
      <c r="E73" s="639"/>
      <c r="F73" s="64">
        <f>IF($B73="","",VLOOKUP($B73,Daten!$B$8:$E$57,2,FALSE))</f>
      </c>
      <c r="G73" s="110"/>
      <c r="H73" s="482"/>
      <c r="I73" s="482"/>
      <c r="J73" s="293">
        <f t="shared" si="1"/>
        <v>0</v>
      </c>
      <c r="K73" s="105"/>
      <c r="L73" s="294">
        <f>IF(J73&gt;0,J73*K73,"")</f>
      </c>
      <c r="M73" s="296"/>
      <c r="N73" s="296"/>
      <c r="O73" s="296"/>
      <c r="P73" s="296"/>
      <c r="Q73" s="296"/>
      <c r="R73" s="296"/>
      <c r="S73" s="609">
        <f>IF($B73="","",IF(AND($K73&gt;0.5,$K73&lt;=VLOOKUP($B73,W$66:Y$73,3)),Texte!$A$175,IF($K73&lt;=0.5,"",Texte!$A$176)))</f>
      </c>
      <c r="T73" s="52"/>
      <c r="U73" s="148"/>
      <c r="V73" s="148"/>
      <c r="W73" s="148" t="str">
        <f>Daten!B55</f>
        <v>Zuchteber</v>
      </c>
      <c r="Y73" s="275">
        <v>6.5</v>
      </c>
      <c r="Z73" s="145"/>
      <c r="AA73" s="485"/>
      <c r="AB73" s="269"/>
      <c r="AC73" s="147"/>
      <c r="AD73" s="52"/>
      <c r="AE73" s="147"/>
      <c r="AF73" s="149"/>
      <c r="AG73" s="283"/>
      <c r="AH73" s="173"/>
      <c r="AI73" s="173"/>
      <c r="AJ73" s="173"/>
      <c r="AK73" s="171"/>
      <c r="AL73" s="228"/>
      <c r="AM73" s="171"/>
      <c r="AN73" s="171"/>
      <c r="AO73" s="229"/>
      <c r="AP73" s="171"/>
      <c r="AQ73" s="171"/>
      <c r="AR73" s="171"/>
      <c r="AS73" s="171"/>
      <c r="AT73" s="171"/>
      <c r="AU73" s="171"/>
    </row>
    <row r="74" spans="1:47" ht="12.75" customHeight="1">
      <c r="A74" s="232"/>
      <c r="C74" s="297"/>
      <c r="D74" s="297"/>
      <c r="E74" s="297"/>
      <c r="F74" s="168"/>
      <c r="G74" s="168"/>
      <c r="H74" s="168"/>
      <c r="I74" s="298"/>
      <c r="J74" s="299"/>
      <c r="K74" s="300"/>
      <c r="L74" s="301">
        <f>SUM(L41:L73)</f>
        <v>0</v>
      </c>
      <c r="M74" s="302">
        <f>SUM(M41:M73)</f>
        <v>0</v>
      </c>
      <c r="N74" s="635"/>
      <c r="O74" s="300"/>
      <c r="P74" s="300"/>
      <c r="Q74" s="302">
        <f>SUM(Q41:Q64)</f>
        <v>0</v>
      </c>
      <c r="R74" s="302">
        <f>SUM(R41:R64)</f>
        <v>0</v>
      </c>
      <c r="S74" s="298"/>
      <c r="T74" s="298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73"/>
      <c r="AI74" s="173"/>
      <c r="AJ74" s="173"/>
      <c r="AK74" s="171"/>
      <c r="AL74" s="648"/>
      <c r="AM74" s="649"/>
      <c r="AN74" s="649"/>
      <c r="AO74" s="650"/>
      <c r="AP74" s="171"/>
      <c r="AQ74" s="171"/>
      <c r="AR74" s="171"/>
      <c r="AS74" s="171"/>
      <c r="AT74" s="171"/>
      <c r="AU74" s="171"/>
    </row>
    <row r="75" spans="2:47" ht="7.5" customHeight="1">
      <c r="B75" s="297"/>
      <c r="C75" s="297"/>
      <c r="D75" s="297"/>
      <c r="E75" s="297"/>
      <c r="F75" s="168"/>
      <c r="G75" s="168"/>
      <c r="H75" s="168"/>
      <c r="I75" s="298"/>
      <c r="J75" s="299"/>
      <c r="K75" s="299"/>
      <c r="L75" s="303"/>
      <c r="M75" s="206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162"/>
      <c r="AD75" s="163"/>
      <c r="AE75" s="164"/>
      <c r="AG75" s="163"/>
      <c r="AH75" s="162"/>
      <c r="AI75" s="173"/>
      <c r="AJ75" s="173"/>
      <c r="AK75" s="173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</row>
    <row r="76" spans="2:48" ht="12.75" customHeight="1">
      <c r="B76" s="232" t="str">
        <f>Texte!A177</f>
        <v>Ganzjahresbetrieb</v>
      </c>
      <c r="C76" s="297"/>
      <c r="D76" s="297"/>
      <c r="E76" s="297"/>
      <c r="F76" s="168"/>
      <c r="G76" s="168"/>
      <c r="H76" s="168"/>
      <c r="I76" s="298"/>
      <c r="J76" s="299"/>
      <c r="K76" s="299"/>
      <c r="L76" s="303"/>
      <c r="M76" s="206"/>
      <c r="N76" s="298"/>
      <c r="O76" s="298"/>
      <c r="P76" s="298"/>
      <c r="Q76" s="298"/>
      <c r="R76" s="298"/>
      <c r="S76" s="298"/>
      <c r="T76" s="298"/>
      <c r="U76" s="149"/>
      <c r="V76" s="149"/>
      <c r="W76" s="149"/>
      <c r="X76" s="149"/>
      <c r="Y76" s="149"/>
      <c r="Z76" s="149"/>
      <c r="AA76" s="149"/>
      <c r="AB76" s="149"/>
      <c r="AC76" s="149"/>
      <c r="AD76" s="163"/>
      <c r="AE76" s="164"/>
      <c r="AG76" s="163"/>
      <c r="AH76" s="162"/>
      <c r="AK76" s="165"/>
      <c r="AL76" s="171"/>
      <c r="AM76" s="228"/>
      <c r="AN76" s="171"/>
      <c r="AO76" s="171"/>
      <c r="AP76" s="229"/>
      <c r="AQ76" s="171"/>
      <c r="AR76" s="171"/>
      <c r="AS76" s="171"/>
      <c r="AT76" s="171"/>
      <c r="AU76" s="171"/>
      <c r="AV76" s="171"/>
    </row>
    <row r="77" spans="2:48" ht="12.75" customHeight="1">
      <c r="B77" s="232" t="str">
        <f>Texte!A178</f>
        <v>A1: Grundfutterverzehr aller Tiere</v>
      </c>
      <c r="C77" s="297"/>
      <c r="D77" s="297"/>
      <c r="E77" s="297"/>
      <c r="F77" s="168"/>
      <c r="G77" s="168"/>
      <c r="H77" s="168"/>
      <c r="I77" s="298"/>
      <c r="J77" s="299"/>
      <c r="K77" s="299"/>
      <c r="L77" s="302">
        <f>L74</f>
        <v>0</v>
      </c>
      <c r="M77" s="298" t="str">
        <f>Texte!A102</f>
        <v>dt TS</v>
      </c>
      <c r="N77" s="298"/>
      <c r="O77" s="298"/>
      <c r="P77" s="298"/>
      <c r="Q77" s="298"/>
      <c r="R77" s="298"/>
      <c r="S77" s="298"/>
      <c r="T77" s="298"/>
      <c r="U77" s="149"/>
      <c r="V77" s="149"/>
      <c r="W77" s="149"/>
      <c r="X77" s="149"/>
      <c r="Y77" s="149"/>
      <c r="Z77" s="149"/>
      <c r="AA77" s="149"/>
      <c r="AB77" s="149"/>
      <c r="AC77" s="149"/>
      <c r="AD77" s="163"/>
      <c r="AE77" s="304"/>
      <c r="AG77" s="305"/>
      <c r="AH77" s="162"/>
      <c r="AI77" s="306"/>
      <c r="AK77" s="165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</row>
    <row r="78" spans="2:48" ht="12.75" customHeight="1">
      <c r="B78" s="232" t="str">
        <f>Texte!A179</f>
        <v>A2: Grundfutterverzehr Raufutterverzehrer</v>
      </c>
      <c r="C78" s="297"/>
      <c r="D78" s="297"/>
      <c r="E78" s="297"/>
      <c r="F78" s="168"/>
      <c r="G78" s="168"/>
      <c r="H78" s="168"/>
      <c r="I78" s="298"/>
      <c r="J78" s="299"/>
      <c r="K78" s="299"/>
      <c r="L78" s="302">
        <f>SUM(L41:L57,L59:L64)</f>
        <v>0</v>
      </c>
      <c r="M78" s="298" t="str">
        <f>Texte!A102</f>
        <v>dt TS</v>
      </c>
      <c r="N78" s="298"/>
      <c r="O78" s="298"/>
      <c r="P78" s="298"/>
      <c r="Q78" s="298"/>
      <c r="R78" s="298"/>
      <c r="S78" s="298"/>
      <c r="T78" s="298"/>
      <c r="U78" s="149"/>
      <c r="V78" s="149"/>
      <c r="W78" s="150"/>
      <c r="X78" s="149"/>
      <c r="Y78" s="149"/>
      <c r="Z78" s="149"/>
      <c r="AA78" s="149"/>
      <c r="AB78" s="149"/>
      <c r="AC78" s="149"/>
      <c r="AD78" s="163"/>
      <c r="AE78" s="304"/>
      <c r="AG78" s="305"/>
      <c r="AH78" s="162"/>
      <c r="AI78" s="306"/>
      <c r="AK78" s="165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</row>
    <row r="79" spans="2:48" ht="12.75" customHeight="1">
      <c r="B79" s="232" t="str">
        <f>Texte!A180</f>
        <v>A3: Grundfutterverzehr übrige Tiere</v>
      </c>
      <c r="C79" s="297"/>
      <c r="D79" s="297"/>
      <c r="E79" s="297"/>
      <c r="F79" s="168"/>
      <c r="G79" s="168"/>
      <c r="H79" s="168"/>
      <c r="I79" s="298"/>
      <c r="J79" s="299"/>
      <c r="K79" s="299"/>
      <c r="L79" s="302">
        <f>SUM(L66:L73)</f>
        <v>0</v>
      </c>
      <c r="M79" s="298" t="str">
        <f>Texte!A102</f>
        <v>dt TS</v>
      </c>
      <c r="N79" s="298"/>
      <c r="O79" s="298"/>
      <c r="P79" s="298"/>
      <c r="Q79" s="298"/>
      <c r="R79" s="298"/>
      <c r="S79" s="298"/>
      <c r="T79" s="298"/>
      <c r="U79" s="149"/>
      <c r="V79" s="149"/>
      <c r="W79" s="150"/>
      <c r="X79" s="149"/>
      <c r="Y79" s="149"/>
      <c r="Z79" s="149"/>
      <c r="AA79" s="149"/>
      <c r="AB79" s="149"/>
      <c r="AC79" s="149"/>
      <c r="AD79" s="163"/>
      <c r="AE79" s="304"/>
      <c r="AG79" s="305"/>
      <c r="AH79" s="162"/>
      <c r="AI79" s="306"/>
      <c r="AK79" s="165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</row>
    <row r="80" spans="2:48" ht="12.75" customHeight="1">
      <c r="B80" s="232" t="str">
        <f>Texte!A181</f>
        <v>A4: Kraftfutterverzehr der berechtigten Kategorien</v>
      </c>
      <c r="C80" s="297"/>
      <c r="D80" s="297"/>
      <c r="E80" s="297"/>
      <c r="F80" s="168"/>
      <c r="G80" s="168"/>
      <c r="H80" s="168"/>
      <c r="I80" s="298"/>
      <c r="J80" s="299"/>
      <c r="K80" s="299"/>
      <c r="L80" s="303"/>
      <c r="M80" s="206"/>
      <c r="N80" s="302">
        <f>M74</f>
        <v>0</v>
      </c>
      <c r="O80" s="298" t="str">
        <f>Texte!A100</f>
        <v>dt FS</v>
      </c>
      <c r="P80" s="203"/>
      <c r="Q80" s="203"/>
      <c r="R80" s="203"/>
      <c r="S80" s="203"/>
      <c r="U80" s="149"/>
      <c r="V80" s="149"/>
      <c r="W80" s="149"/>
      <c r="X80" s="149"/>
      <c r="Y80" s="149"/>
      <c r="Z80" s="149"/>
      <c r="AA80" s="149"/>
      <c r="AB80" s="149"/>
      <c r="AC80" s="149"/>
      <c r="AD80" s="163"/>
      <c r="AE80" s="164"/>
      <c r="AG80" s="163"/>
      <c r="AH80" s="162"/>
      <c r="AK80" s="165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</row>
    <row r="81" spans="2:47" ht="12.75" customHeight="1">
      <c r="B81" s="232" t="str">
        <f>Texte!A182</f>
        <v>A5: Gesamtverzehr der Raufutterverzehrer</v>
      </c>
      <c r="C81" s="232"/>
      <c r="D81" s="232"/>
      <c r="E81" s="232"/>
      <c r="F81" s="168"/>
      <c r="G81" s="168"/>
      <c r="H81" s="298"/>
      <c r="I81" s="299"/>
      <c r="J81" s="299"/>
      <c r="K81" s="303"/>
      <c r="L81" s="307"/>
      <c r="M81" s="308"/>
      <c r="N81" s="302">
        <f>L78+(N80*0.88)</f>
        <v>0</v>
      </c>
      <c r="O81" s="298" t="str">
        <f>Texte!A102</f>
        <v>dt TS</v>
      </c>
      <c r="P81" s="203"/>
      <c r="Q81" s="203"/>
      <c r="R81" s="203"/>
      <c r="S81" s="203"/>
      <c r="U81" s="149"/>
      <c r="V81" s="149"/>
      <c r="W81" s="149"/>
      <c r="X81" s="149"/>
      <c r="Y81" s="149"/>
      <c r="Z81" s="149"/>
      <c r="AA81" s="149"/>
      <c r="AB81" s="149"/>
      <c r="AC81" s="149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</row>
    <row r="82" spans="2:47" ht="12.75" customHeight="1">
      <c r="B82" s="232"/>
      <c r="C82" s="232"/>
      <c r="D82" s="232"/>
      <c r="E82" s="232"/>
      <c r="F82" s="168"/>
      <c r="G82" s="168"/>
      <c r="H82" s="298"/>
      <c r="I82" s="299"/>
      <c r="J82" s="299"/>
      <c r="K82" s="303"/>
      <c r="L82" s="307"/>
      <c r="M82" s="308"/>
      <c r="N82" s="595"/>
      <c r="O82" s="298"/>
      <c r="P82" s="203"/>
      <c r="Q82" s="203"/>
      <c r="R82" s="203"/>
      <c r="S82" s="203"/>
      <c r="U82" s="149"/>
      <c r="V82" s="149"/>
      <c r="W82" s="149"/>
      <c r="X82" s="149"/>
      <c r="Y82" s="149"/>
      <c r="Z82" s="149"/>
      <c r="AA82" s="149"/>
      <c r="AB82" s="149"/>
      <c r="AC82" s="149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</row>
    <row r="83" spans="2:47" ht="12.75" customHeight="1">
      <c r="B83" s="232" t="str">
        <f>Texte!A183</f>
        <v>Sömmerung</v>
      </c>
      <c r="C83" s="232"/>
      <c r="D83" s="232"/>
      <c r="E83" s="232"/>
      <c r="F83" s="168"/>
      <c r="G83" s="168"/>
      <c r="H83" s="298"/>
      <c r="I83" s="299"/>
      <c r="J83" s="299"/>
      <c r="K83" s="303"/>
      <c r="L83" s="307"/>
      <c r="M83" s="308"/>
      <c r="N83" s="595"/>
      <c r="O83" s="298"/>
      <c r="P83" s="203"/>
      <c r="Q83" s="203"/>
      <c r="R83" s="203"/>
      <c r="S83" s="203"/>
      <c r="U83" s="149"/>
      <c r="V83" s="149"/>
      <c r="W83" s="149"/>
      <c r="X83" s="149"/>
      <c r="Y83" s="149"/>
      <c r="Z83" s="149"/>
      <c r="AA83" s="149"/>
      <c r="AB83" s="149"/>
      <c r="AC83" s="149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</row>
    <row r="84" spans="2:47" ht="12.75" customHeight="1">
      <c r="B84" s="232" t="str">
        <f>Texte!A184</f>
        <v>A6: Grundfutterverzehr Raufutterverzehrer</v>
      </c>
      <c r="C84" s="232"/>
      <c r="D84" s="232"/>
      <c r="E84" s="232"/>
      <c r="F84" s="168"/>
      <c r="G84" s="168"/>
      <c r="H84" s="298"/>
      <c r="I84" s="299"/>
      <c r="J84" s="299"/>
      <c r="K84" s="303"/>
      <c r="L84" s="302">
        <f>SUM(Q41:Q64)</f>
        <v>0</v>
      </c>
      <c r="M84" s="298" t="str">
        <f>Texte!A102</f>
        <v>dt TS</v>
      </c>
      <c r="N84" s="595"/>
      <c r="O84" s="298"/>
      <c r="P84" s="203"/>
      <c r="Q84" s="203"/>
      <c r="R84" s="203"/>
      <c r="S84" s="203"/>
      <c r="U84" s="149"/>
      <c r="V84" s="149"/>
      <c r="W84" s="149"/>
      <c r="X84" s="149"/>
      <c r="Y84" s="149"/>
      <c r="Z84" s="149"/>
      <c r="AA84" s="149"/>
      <c r="AB84" s="149"/>
      <c r="AC84" s="149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</row>
    <row r="85" spans="2:47" ht="12.75" customHeight="1">
      <c r="B85" s="232" t="str">
        <f>Texte!A185</f>
        <v>A7: Kraftfutterverzehr berechtigte Kategorien</v>
      </c>
      <c r="C85" s="232"/>
      <c r="D85" s="232"/>
      <c r="E85" s="232"/>
      <c r="F85" s="168"/>
      <c r="G85" s="168"/>
      <c r="H85" s="298"/>
      <c r="I85" s="299"/>
      <c r="J85" s="299"/>
      <c r="K85" s="303"/>
      <c r="L85" s="307"/>
      <c r="M85" s="308"/>
      <c r="N85" s="302">
        <f>SUM(R41:R64)*0.88</f>
        <v>0</v>
      </c>
      <c r="O85" s="298" t="str">
        <f>Texte!A102</f>
        <v>dt TS</v>
      </c>
      <c r="P85" s="203"/>
      <c r="Q85" s="203"/>
      <c r="R85" s="203"/>
      <c r="S85" s="203"/>
      <c r="U85" s="149"/>
      <c r="V85" s="149"/>
      <c r="W85" s="149"/>
      <c r="X85" s="149"/>
      <c r="Y85" s="149"/>
      <c r="Z85" s="149"/>
      <c r="AA85" s="149"/>
      <c r="AB85" s="149"/>
      <c r="AC85" s="149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</row>
    <row r="86" spans="2:47" ht="12.75" customHeight="1">
      <c r="B86" s="232" t="str">
        <f>Texte!A186</f>
        <v>A8: Sömmerungstage gemäss AniCalc (TVD-Auszug)</v>
      </c>
      <c r="C86" s="232"/>
      <c r="D86" s="232"/>
      <c r="E86" s="232"/>
      <c r="F86" s="168"/>
      <c r="G86" s="168"/>
      <c r="H86" s="298"/>
      <c r="I86" s="299"/>
      <c r="J86" s="299"/>
      <c r="K86" s="303"/>
      <c r="L86" s="307"/>
      <c r="M86" s="308"/>
      <c r="N86" s="595"/>
      <c r="O86" s="298"/>
      <c r="P86" s="203"/>
      <c r="Q86" s="302">
        <f>SUM(P41:P57)</f>
        <v>0</v>
      </c>
      <c r="R86" s="203"/>
      <c r="S86" s="203"/>
      <c r="U86" s="149"/>
      <c r="V86" s="149"/>
      <c r="W86" s="149"/>
      <c r="X86" s="149"/>
      <c r="Y86" s="149"/>
      <c r="Z86" s="149"/>
      <c r="AA86" s="149"/>
      <c r="AB86" s="149"/>
      <c r="AC86" s="149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</row>
    <row r="87" spans="2:47" ht="11.25" customHeight="1">
      <c r="B87" s="232"/>
      <c r="C87" s="232"/>
      <c r="D87" s="232"/>
      <c r="E87" s="232"/>
      <c r="F87" s="168"/>
      <c r="G87" s="168"/>
      <c r="H87" s="298"/>
      <c r="I87" s="299"/>
      <c r="J87" s="299"/>
      <c r="K87" s="303"/>
      <c r="L87" s="307"/>
      <c r="M87" s="308"/>
      <c r="N87" s="203"/>
      <c r="O87" s="203"/>
      <c r="P87" s="203"/>
      <c r="Q87" s="203"/>
      <c r="R87" s="203"/>
      <c r="S87" s="203"/>
      <c r="T87" s="298"/>
      <c r="U87" s="149"/>
      <c r="V87" s="149"/>
      <c r="W87" s="149"/>
      <c r="X87" s="149"/>
      <c r="Y87" s="149"/>
      <c r="Z87" s="149"/>
      <c r="AA87" s="149"/>
      <c r="AB87" s="149"/>
      <c r="AC87" s="149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</row>
    <row r="88" spans="2:47" ht="16.5" customHeight="1">
      <c r="B88" s="190" t="str">
        <f>Texte!A188</f>
        <v>Teil B: Grundfutterproduktion</v>
      </c>
      <c r="C88" s="190"/>
      <c r="D88" s="190"/>
      <c r="E88" s="190"/>
      <c r="I88" s="188"/>
      <c r="L88" s="341"/>
      <c r="N88" s="188"/>
      <c r="O88" s="188"/>
      <c r="P88" s="188"/>
      <c r="Q88" s="188"/>
      <c r="R88" s="188"/>
      <c r="S88" s="188"/>
      <c r="V88" s="310"/>
      <c r="X88" s="311"/>
      <c r="Y88" s="312"/>
      <c r="AF88" s="305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</row>
    <row r="89" spans="2:47" ht="7.5" customHeight="1">
      <c r="B89" s="190"/>
      <c r="C89" s="190"/>
      <c r="D89" s="190"/>
      <c r="E89" s="190"/>
      <c r="I89" s="188"/>
      <c r="K89" s="188"/>
      <c r="L89" s="188"/>
      <c r="N89" s="188"/>
      <c r="O89" s="188"/>
      <c r="P89" s="188"/>
      <c r="Q89" s="188"/>
      <c r="R89" s="188"/>
      <c r="S89" s="188"/>
      <c r="Y89" s="168"/>
      <c r="AF89" s="305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</row>
    <row r="90" spans="2:47" ht="12.75" customHeight="1">
      <c r="B90" s="313"/>
      <c r="C90" s="314"/>
      <c r="D90" s="314"/>
      <c r="E90" s="314"/>
      <c r="F90" s="315"/>
      <c r="G90" s="315"/>
      <c r="H90" s="315"/>
      <c r="I90" s="316" t="str">
        <f>Texte!A189</f>
        <v>Stand.</v>
      </c>
      <c r="J90" s="317" t="str">
        <f>Texte!A192</f>
        <v>Fläche</v>
      </c>
      <c r="K90" s="317" t="str">
        <f>Texte!A191</f>
        <v>Ertrag</v>
      </c>
      <c r="L90" s="317" t="str">
        <f>Texte!A194</f>
        <v>Menge</v>
      </c>
      <c r="O90" s="188"/>
      <c r="P90" s="188"/>
      <c r="Q90" s="188"/>
      <c r="R90" s="188"/>
      <c r="S90" s="188"/>
      <c r="Y90" s="168"/>
      <c r="AD90" s="318"/>
      <c r="AF90" s="305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</row>
    <row r="91" spans="2:47" ht="12.75" customHeight="1">
      <c r="B91" s="319"/>
      <c r="C91" s="210"/>
      <c r="D91" s="210"/>
      <c r="E91" s="210"/>
      <c r="F91" s="211"/>
      <c r="G91" s="211"/>
      <c r="H91" s="211"/>
      <c r="I91" s="320" t="str">
        <f>Texte!A190</f>
        <v>Ertrag</v>
      </c>
      <c r="J91" s="255" t="s">
        <v>931</v>
      </c>
      <c r="K91" s="255" t="str">
        <f>Texte!A193</f>
        <v>dt TS/ha</v>
      </c>
      <c r="L91" s="255" t="str">
        <f>Texte!A195</f>
        <v>dt TS</v>
      </c>
      <c r="Y91" s="168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</row>
    <row r="92" spans="2:47" ht="12.75" customHeight="1">
      <c r="B92" s="321" t="str">
        <f>Texte!A199</f>
        <v>Ganzpflanzenmais, Silomais</v>
      </c>
      <c r="C92" s="322"/>
      <c r="D92" s="322"/>
      <c r="E92" s="322"/>
      <c r="F92" s="322"/>
      <c r="G92" s="322"/>
      <c r="H92" s="323"/>
      <c r="I92" s="116">
        <v>170</v>
      </c>
      <c r="J92" s="83"/>
      <c r="K92" s="84"/>
      <c r="L92" s="324">
        <f>J92*K92</f>
        <v>0</v>
      </c>
      <c r="Y92" s="168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</row>
    <row r="93" spans="2:47" ht="12.75" customHeight="1">
      <c r="B93" s="325" t="str">
        <f>Texte!A200</f>
        <v>Futterrüben (ohne Blätter)</v>
      </c>
      <c r="C93" s="326"/>
      <c r="D93" s="326"/>
      <c r="E93" s="326"/>
      <c r="F93" s="326"/>
      <c r="G93" s="326"/>
      <c r="H93" s="327"/>
      <c r="I93" s="116">
        <v>175</v>
      </c>
      <c r="J93" s="83"/>
      <c r="K93" s="84"/>
      <c r="L93" s="324">
        <f>J93*K93</f>
        <v>0</v>
      </c>
      <c r="Y93" s="168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</row>
    <row r="94" spans="2:47" ht="12.75" customHeight="1">
      <c r="B94" s="325" t="str">
        <f>Texte!A201</f>
        <v>Grünmais (2. Kultur)</v>
      </c>
      <c r="C94" s="326"/>
      <c r="D94" s="326"/>
      <c r="E94" s="326"/>
      <c r="F94" s="326"/>
      <c r="G94" s="326"/>
      <c r="H94" s="327"/>
      <c r="I94" s="116">
        <v>60</v>
      </c>
      <c r="J94" s="83"/>
      <c r="K94" s="84"/>
      <c r="L94" s="324">
        <f>J94*K94</f>
        <v>0</v>
      </c>
      <c r="N94" s="330"/>
      <c r="Y94" s="168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</row>
    <row r="95" spans="2:47" ht="12.75" customHeight="1">
      <c r="B95" s="325" t="str">
        <f>Texte!A202</f>
        <v>Verfüttertes Stroh (nur betriebseigenes)</v>
      </c>
      <c r="C95" s="326"/>
      <c r="D95" s="326"/>
      <c r="E95" s="326"/>
      <c r="F95" s="326"/>
      <c r="G95" s="326"/>
      <c r="H95" s="327"/>
      <c r="I95" s="116">
        <v>40</v>
      </c>
      <c r="J95" s="328"/>
      <c r="K95" s="329"/>
      <c r="L95" s="102"/>
      <c r="N95" s="330"/>
      <c r="Y95" s="336" t="s">
        <v>162</v>
      </c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</row>
    <row r="96" spans="2:47" ht="12.75" customHeight="1">
      <c r="B96" s="331" t="str">
        <f>Texte!A203</f>
        <v>Verfütterte Rübenblätter (nur betriebseigene)</v>
      </c>
      <c r="C96" s="332"/>
      <c r="D96" s="332"/>
      <c r="E96" s="332"/>
      <c r="F96" s="332"/>
      <c r="G96" s="332"/>
      <c r="H96" s="333"/>
      <c r="I96" s="117">
        <v>50</v>
      </c>
      <c r="J96" s="334"/>
      <c r="K96" s="335"/>
      <c r="L96" s="103"/>
      <c r="O96" s="338"/>
      <c r="Y96" s="401" t="s">
        <v>610</v>
      </c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</row>
    <row r="97" spans="2:47" ht="12.75" customHeight="1">
      <c r="B97" s="321" t="str">
        <f>Texte!A204</f>
        <v>Zwischenfutter, Aeugstlen, Frühjahrsschnitt vor Umbruch</v>
      </c>
      <c r="C97" s="322"/>
      <c r="D97" s="322"/>
      <c r="E97" s="322"/>
      <c r="F97" s="322"/>
      <c r="G97" s="322"/>
      <c r="H97" s="323"/>
      <c r="I97" s="118">
        <v>25</v>
      </c>
      <c r="J97" s="536"/>
      <c r="K97" s="83">
        <v>25</v>
      </c>
      <c r="L97" s="337">
        <f aca="true" t="shared" si="6" ref="L97:L104">J97*K97</f>
        <v>0</v>
      </c>
      <c r="O97" s="338"/>
      <c r="P97" s="340"/>
      <c r="Q97" s="340"/>
      <c r="R97" s="340"/>
      <c r="S97" s="340"/>
      <c r="X97" s="194">
        <v>25</v>
      </c>
      <c r="Y97" s="483">
        <f>IF($K97&gt;$X97,1,"")</f>
      </c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</row>
    <row r="98" spans="2:47" ht="12.75" customHeight="1">
      <c r="B98" s="325" t="str">
        <f>Texte!A205</f>
        <v>Samenproduktion: Leguminosen Reinbestand</v>
      </c>
      <c r="C98" s="326"/>
      <c r="D98" s="326"/>
      <c r="E98" s="326"/>
      <c r="F98" s="326"/>
      <c r="G98" s="326"/>
      <c r="H98" s="327"/>
      <c r="I98" s="119" t="s">
        <v>1114</v>
      </c>
      <c r="J98" s="83"/>
      <c r="K98" s="83"/>
      <c r="L98" s="324">
        <f t="shared" si="6"/>
        <v>0</v>
      </c>
      <c r="O98" s="340"/>
      <c r="P98" s="340"/>
      <c r="Q98" s="340"/>
      <c r="R98" s="340"/>
      <c r="S98" s="340"/>
      <c r="X98" s="194">
        <v>120</v>
      </c>
      <c r="Y98" s="483">
        <f>IF($K98&gt;$X98,1,"")</f>
      </c>
      <c r="Z98" s="310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</row>
    <row r="99" spans="2:47" ht="12.75" customHeight="1">
      <c r="B99" s="325" t="str">
        <f>Texte!A206</f>
        <v>Samenproduktion: Gras Reinbestand</v>
      </c>
      <c r="C99" s="326"/>
      <c r="D99" s="326"/>
      <c r="E99" s="326"/>
      <c r="F99" s="326"/>
      <c r="G99" s="326"/>
      <c r="H99" s="327"/>
      <c r="I99" s="119" t="s">
        <v>1114</v>
      </c>
      <c r="J99" s="83"/>
      <c r="K99" s="83"/>
      <c r="L99" s="324">
        <f t="shared" si="6"/>
        <v>0</v>
      </c>
      <c r="N99" s="341"/>
      <c r="O99" s="588"/>
      <c r="P99" s="588"/>
      <c r="Q99" s="588"/>
      <c r="R99" s="588"/>
      <c r="S99" s="588"/>
      <c r="X99" s="194">
        <v>180</v>
      </c>
      <c r="Y99" s="483">
        <f aca="true" t="shared" si="7" ref="Y99:Y105">IF($K99&gt;$X99,1,"")</f>
      </c>
      <c r="Z99" s="310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</row>
    <row r="100" spans="2:47" ht="12.75" customHeight="1">
      <c r="B100" s="325" t="str">
        <f>Texte!A207</f>
        <v>Extensive Wiesen</v>
      </c>
      <c r="C100" s="326"/>
      <c r="D100" s="326"/>
      <c r="E100" s="326"/>
      <c r="F100" s="326"/>
      <c r="G100" s="326"/>
      <c r="H100" s="327"/>
      <c r="I100" s="119" t="s">
        <v>138</v>
      </c>
      <c r="J100" s="83"/>
      <c r="K100" s="83"/>
      <c r="L100" s="324">
        <f t="shared" si="6"/>
        <v>0</v>
      </c>
      <c r="N100" s="341"/>
      <c r="O100" s="588"/>
      <c r="P100" s="588"/>
      <c r="Q100" s="588"/>
      <c r="R100" s="588"/>
      <c r="S100" s="588"/>
      <c r="X100" s="194">
        <v>30</v>
      </c>
      <c r="Y100" s="483">
        <f t="shared" si="7"/>
      </c>
      <c r="Z100" s="310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</row>
    <row r="101" spans="2:47" ht="12.75" customHeight="1">
      <c r="B101" s="325" t="str">
        <f>Texte!A208</f>
        <v>Übrige Wiesen mit Düngeverbot</v>
      </c>
      <c r="C101" s="326"/>
      <c r="D101" s="326"/>
      <c r="E101" s="326"/>
      <c r="F101" s="326"/>
      <c r="G101" s="326"/>
      <c r="H101" s="327"/>
      <c r="I101" s="119" t="s">
        <v>138</v>
      </c>
      <c r="J101" s="83"/>
      <c r="K101" s="83"/>
      <c r="L101" s="324">
        <f t="shared" si="6"/>
        <v>0</v>
      </c>
      <c r="N101" s="341"/>
      <c r="O101" s="588"/>
      <c r="P101" s="588"/>
      <c r="Q101" s="588"/>
      <c r="R101" s="588"/>
      <c r="S101" s="588"/>
      <c r="X101" s="194">
        <v>30</v>
      </c>
      <c r="Y101" s="483">
        <f t="shared" si="7"/>
      </c>
      <c r="Z101" s="310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</row>
    <row r="102" spans="2:47" ht="12.75" customHeight="1">
      <c r="B102" s="325" t="str">
        <f>Texte!A209</f>
        <v>Extensive Weiden, Waldweiden</v>
      </c>
      <c r="C102" s="326"/>
      <c r="D102" s="326"/>
      <c r="E102" s="326"/>
      <c r="F102" s="326"/>
      <c r="G102" s="326"/>
      <c r="H102" s="327"/>
      <c r="I102" s="119" t="s">
        <v>1115</v>
      </c>
      <c r="J102" s="83"/>
      <c r="K102" s="83"/>
      <c r="L102" s="324">
        <f t="shared" si="6"/>
        <v>0</v>
      </c>
      <c r="N102" s="341"/>
      <c r="O102" s="588"/>
      <c r="P102" s="588"/>
      <c r="Q102" s="588"/>
      <c r="R102" s="588"/>
      <c r="S102" s="588"/>
      <c r="X102" s="194">
        <v>25</v>
      </c>
      <c r="Y102" s="483">
        <f t="shared" si="7"/>
      </c>
      <c r="Z102" s="310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</row>
    <row r="103" spans="2:47" ht="12.75" customHeight="1">
      <c r="B103" s="325" t="str">
        <f>Texte!A210</f>
        <v>Wiesen und Weiden</v>
      </c>
      <c r="C103" s="326"/>
      <c r="D103" s="326"/>
      <c r="E103" s="326" t="str">
        <f>Texte!A211</f>
        <v>wenig intensiv (1-3 Nutzungen)</v>
      </c>
      <c r="F103" s="326"/>
      <c r="G103" s="326"/>
      <c r="H103" s="327"/>
      <c r="I103" s="119" t="s">
        <v>140</v>
      </c>
      <c r="J103" s="83"/>
      <c r="K103" s="83"/>
      <c r="L103" s="324">
        <f t="shared" si="6"/>
        <v>0</v>
      </c>
      <c r="N103" s="341"/>
      <c r="O103" s="588"/>
      <c r="P103" s="588"/>
      <c r="Q103" s="588"/>
      <c r="R103" s="588"/>
      <c r="S103" s="588"/>
      <c r="X103" s="194">
        <v>65</v>
      </c>
      <c r="Y103" s="483">
        <f t="shared" si="7"/>
      </c>
      <c r="Z103" s="310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</row>
    <row r="104" spans="2:47" ht="12.75" customHeight="1">
      <c r="B104" s="325"/>
      <c r="C104" s="326"/>
      <c r="D104" s="326"/>
      <c r="E104" s="326" t="str">
        <f>Texte!A212</f>
        <v>mittelintensiv (1-4 Nutzungen)</v>
      </c>
      <c r="F104" s="326"/>
      <c r="G104" s="326"/>
      <c r="H104" s="327"/>
      <c r="I104" s="119" t="s">
        <v>142</v>
      </c>
      <c r="J104" s="83"/>
      <c r="K104" s="83"/>
      <c r="L104" s="324">
        <f t="shared" si="6"/>
        <v>0</v>
      </c>
      <c r="N104" s="341"/>
      <c r="O104" s="588"/>
      <c r="P104" s="588"/>
      <c r="Q104" s="588"/>
      <c r="R104" s="588"/>
      <c r="S104" s="588"/>
      <c r="X104" s="194">
        <v>100</v>
      </c>
      <c r="Y104" s="483">
        <f t="shared" si="7"/>
      </c>
      <c r="Z104" s="310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</row>
    <row r="105" spans="2:47" ht="12.75" customHeight="1">
      <c r="B105" s="460"/>
      <c r="C105" s="461"/>
      <c r="D105" s="461"/>
      <c r="E105" s="461" t="str">
        <f>Texte!A213</f>
        <v>intensive (2-6 Nutzungen)</v>
      </c>
      <c r="F105" s="461"/>
      <c r="G105" s="461"/>
      <c r="H105" s="462"/>
      <c r="I105" s="119" t="s">
        <v>69</v>
      </c>
      <c r="J105" s="83"/>
      <c r="K105" s="466">
        <f>IF($J$105="","",(L150-SUM(L92:L104))/J105)</f>
      </c>
      <c r="L105" s="342">
        <f>IF($J$105="",$L$150-SUM($L$92:$L$104),$J$105*$K$105)</f>
        <v>0</v>
      </c>
      <c r="N105" s="341"/>
      <c r="O105" s="588"/>
      <c r="P105" s="588"/>
      <c r="Q105" s="588"/>
      <c r="R105" s="588"/>
      <c r="S105" s="588"/>
      <c r="X105" s="194">
        <v>135</v>
      </c>
      <c r="Y105" s="483">
        <f t="shared" si="7"/>
      </c>
      <c r="Z105" s="310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</row>
    <row r="106" spans="2:47" ht="12.75" customHeight="1">
      <c r="B106" s="343"/>
      <c r="C106" s="343"/>
      <c r="D106" s="343"/>
      <c r="E106" s="343"/>
      <c r="F106" s="188">
        <f>IF(OR(AND(ROUND($L$105,0)&lt;&gt;0,$J$105=""),$L$105&lt;0),Texte!A235,"")</f>
      </c>
      <c r="I106" s="315"/>
      <c r="J106" s="551"/>
      <c r="L106" s="309"/>
      <c r="M106" s="309">
        <f>IF(COUNT($Y$97:$Y$105)&gt;0,Texte!$A$219,"")</f>
      </c>
      <c r="N106" s="344"/>
      <c r="O106" s="610"/>
      <c r="P106" s="610"/>
      <c r="Q106" s="589"/>
      <c r="R106" s="589"/>
      <c r="S106" s="589"/>
      <c r="Y106" s="168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</row>
    <row r="107" spans="2:47" ht="12.75" customHeight="1">
      <c r="B107" s="343" t="str">
        <f>Texte!A214</f>
        <v>Grünfläche</v>
      </c>
      <c r="C107" s="343"/>
      <c r="D107" s="343"/>
      <c r="E107" s="343"/>
      <c r="I107" s="168"/>
      <c r="J107" s="345">
        <f>SUM(J98:J105)</f>
        <v>0</v>
      </c>
      <c r="K107" s="186" t="s">
        <v>931</v>
      </c>
      <c r="N107" s="309"/>
      <c r="O107" s="431"/>
      <c r="P107" s="514"/>
      <c r="Q107" s="514"/>
      <c r="R107" s="514"/>
      <c r="S107" s="514"/>
      <c r="X107" s="194"/>
      <c r="Y107" s="336" t="s">
        <v>632</v>
      </c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</row>
    <row r="108" spans="2:47" ht="12.75" customHeight="1">
      <c r="B108" s="343" t="str">
        <f>Texte!A215</f>
        <v>Zwischenfutterfläche</v>
      </c>
      <c r="C108" s="343"/>
      <c r="D108" s="343"/>
      <c r="E108" s="343"/>
      <c r="I108" s="168"/>
      <c r="J108" s="345">
        <f>SUM(J94,J97)</f>
        <v>0</v>
      </c>
      <c r="K108" s="186" t="s">
        <v>931</v>
      </c>
      <c r="O108" s="330"/>
      <c r="P108" s="445"/>
      <c r="Q108" s="445"/>
      <c r="R108" s="445"/>
      <c r="S108" s="445"/>
      <c r="X108" s="336" t="s">
        <v>633</v>
      </c>
      <c r="Y108" s="511">
        <f>SUM(J100,J102,J103)</f>
        <v>0</v>
      </c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</row>
    <row r="109" spans="2:47" ht="12.75" customHeight="1">
      <c r="B109" s="343" t="str">
        <f>Texte!A216</f>
        <v>B1: Grundfutterproduktion total</v>
      </c>
      <c r="C109" s="343"/>
      <c r="D109" s="343"/>
      <c r="E109" s="343"/>
      <c r="I109" s="168"/>
      <c r="J109" s="347"/>
      <c r="K109" s="186"/>
      <c r="L109" s="348">
        <f>SUM(L92:L105)</f>
        <v>0</v>
      </c>
      <c r="M109" s="162" t="str">
        <f>Texte!A102</f>
        <v>dt TS</v>
      </c>
      <c r="N109" s="188"/>
      <c r="O109" s="346"/>
      <c r="P109" s="346"/>
      <c r="Q109" s="346"/>
      <c r="R109" s="346"/>
      <c r="S109" s="346"/>
      <c r="X109" s="336" t="s">
        <v>634</v>
      </c>
      <c r="Y109" s="511">
        <f>SUM(O99:O105)</f>
        <v>0</v>
      </c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</row>
    <row r="110" spans="2:47" ht="12.75" customHeight="1">
      <c r="B110" s="343" t="str">
        <f>Texte!A217</f>
        <v>B2: Grundfutterproduktion Wiesen und Weiden</v>
      </c>
      <c r="C110" s="343"/>
      <c r="D110" s="343"/>
      <c r="E110" s="343"/>
      <c r="I110" s="168"/>
      <c r="J110" s="347"/>
      <c r="K110" s="186"/>
      <c r="L110" s="348">
        <f>SUM(L97:L105)</f>
        <v>0</v>
      </c>
      <c r="M110" s="162" t="str">
        <f>Texte!A102</f>
        <v>dt TS</v>
      </c>
      <c r="N110" s="188"/>
      <c r="O110" s="188"/>
      <c r="P110" s="188"/>
      <c r="Q110" s="188"/>
      <c r="R110" s="188"/>
      <c r="S110" s="188"/>
      <c r="X110" s="336" t="s">
        <v>635</v>
      </c>
      <c r="Y110" s="511">
        <f>SUM(P99:P105)</f>
        <v>0</v>
      </c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</row>
    <row r="111" spans="2:47" ht="12.75" customHeight="1">
      <c r="B111" s="343" t="str">
        <f>Texte!A218</f>
        <v>B3: Grundfutterproduktion übrige</v>
      </c>
      <c r="C111" s="343"/>
      <c r="D111" s="343"/>
      <c r="E111" s="343"/>
      <c r="I111" s="168"/>
      <c r="J111" s="347"/>
      <c r="K111" s="186"/>
      <c r="L111" s="348">
        <f>SUM(L92:L96)</f>
        <v>0</v>
      </c>
      <c r="M111" s="162" t="str">
        <f>Texte!A102</f>
        <v>dt TS</v>
      </c>
      <c r="N111" s="188"/>
      <c r="O111" s="188"/>
      <c r="P111" s="188"/>
      <c r="Q111" s="188"/>
      <c r="R111" s="188"/>
      <c r="S111" s="188"/>
      <c r="X111" s="336" t="s">
        <v>636</v>
      </c>
      <c r="Y111" s="511">
        <f>IF(Y110&gt;Y108,"ja","")</f>
      </c>
      <c r="Z111" s="186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</row>
    <row r="112" spans="2:47" ht="11.25" customHeight="1">
      <c r="B112" s="343"/>
      <c r="C112" s="343"/>
      <c r="D112" s="343"/>
      <c r="E112" s="343"/>
      <c r="I112" s="168"/>
      <c r="J112" s="347"/>
      <c r="N112" s="188"/>
      <c r="O112" s="188"/>
      <c r="P112" s="188"/>
      <c r="Q112" s="188"/>
      <c r="R112" s="188"/>
      <c r="S112" s="188"/>
      <c r="X112" s="336" t="s">
        <v>637</v>
      </c>
      <c r="Y112" s="511">
        <f>IF(O106&lt;&gt;J107,"ja","")</f>
      </c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</row>
    <row r="113" spans="2:47" ht="15.75" customHeight="1">
      <c r="B113" s="349" t="str">
        <f>Texte!A237</f>
        <v>Teil C: Zu- und Wegfuhr Grundfutter</v>
      </c>
      <c r="C113" s="232"/>
      <c r="D113" s="232"/>
      <c r="E113" s="232"/>
      <c r="F113" s="168"/>
      <c r="G113" s="168"/>
      <c r="H113" s="298"/>
      <c r="I113" s="299"/>
      <c r="J113" s="299"/>
      <c r="K113" s="303"/>
      <c r="L113" s="303"/>
      <c r="M113" s="298"/>
      <c r="N113" s="298"/>
      <c r="O113" s="298"/>
      <c r="P113" s="298"/>
      <c r="Q113" s="298"/>
      <c r="R113" s="298"/>
      <c r="S113" s="298"/>
      <c r="T113" s="298"/>
      <c r="U113" s="149"/>
      <c r="V113" s="149"/>
      <c r="W113" s="149"/>
      <c r="X113" s="336" t="s">
        <v>638</v>
      </c>
      <c r="Y113" s="511">
        <f>IF(AND(Y110=0,Y108&lt;&gt;0),"ja","")</f>
      </c>
      <c r="Z113" s="149"/>
      <c r="AA113" s="149"/>
      <c r="AB113" s="149"/>
      <c r="AC113" s="149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</row>
    <row r="114" spans="2:47" ht="7.5" customHeight="1">
      <c r="B114" s="349"/>
      <c r="C114" s="232"/>
      <c r="D114" s="232"/>
      <c r="E114" s="232"/>
      <c r="F114" s="168"/>
      <c r="G114" s="168"/>
      <c r="H114" s="298"/>
      <c r="I114" s="299"/>
      <c r="J114" s="299"/>
      <c r="K114" s="303"/>
      <c r="L114" s="303"/>
      <c r="M114" s="298"/>
      <c r="N114" s="298"/>
      <c r="O114" s="298"/>
      <c r="P114" s="298"/>
      <c r="Q114" s="298"/>
      <c r="R114" s="298"/>
      <c r="S114" s="298"/>
      <c r="T114" s="298"/>
      <c r="U114" s="350"/>
      <c r="V114" s="350"/>
      <c r="W114" s="350"/>
      <c r="X114" s="350"/>
      <c r="Y114" s="298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</row>
    <row r="115" spans="2:47" ht="12.75" customHeight="1">
      <c r="B115" s="313" t="str">
        <f>Texte!A238</f>
        <v>Grundfutterverzehr auf dem Betrieb</v>
      </c>
      <c r="C115" s="351"/>
      <c r="D115" s="351"/>
      <c r="E115" s="351"/>
      <c r="F115" s="315"/>
      <c r="G115" s="315"/>
      <c r="H115" s="352"/>
      <c r="I115" s="353"/>
      <c r="J115" s="353"/>
      <c r="K115" s="354"/>
      <c r="L115" s="348">
        <f>L74</f>
        <v>0</v>
      </c>
      <c r="M115" s="298" t="str">
        <f>Texte!A102</f>
        <v>dt TS</v>
      </c>
      <c r="N115" s="298"/>
      <c r="O115" s="298"/>
      <c r="P115" s="298"/>
      <c r="Q115" s="298"/>
      <c r="R115" s="298"/>
      <c r="S115" s="298"/>
      <c r="T115" s="298"/>
      <c r="U115" s="350"/>
      <c r="V115" s="350"/>
      <c r="W115" s="350"/>
      <c r="X115" s="350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</row>
    <row r="116" spans="2:47" ht="12.75" customHeight="1">
      <c r="B116" s="355" t="str">
        <f>Texte!A239</f>
        <v>Zu- und Wegfuhr von Grundfutter und Grundfutterproduktion ausserhalb der Futterfläche (FF)</v>
      </c>
      <c r="C116" s="351"/>
      <c r="D116" s="351"/>
      <c r="E116" s="351"/>
      <c r="F116" s="315"/>
      <c r="G116" s="315"/>
      <c r="H116" s="352"/>
      <c r="I116" s="353"/>
      <c r="J116" s="353"/>
      <c r="K116" s="354"/>
      <c r="L116" s="356"/>
      <c r="M116" s="298"/>
      <c r="N116" s="298"/>
      <c r="O116" s="298"/>
      <c r="P116" s="298"/>
      <c r="Q116" s="298"/>
      <c r="R116" s="298"/>
      <c r="S116" s="298"/>
      <c r="T116" s="298"/>
      <c r="U116" s="350"/>
      <c r="V116" s="505" t="s">
        <v>621</v>
      </c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</row>
    <row r="117" spans="2:47" ht="12.75" customHeight="1">
      <c r="B117" s="355" t="str">
        <f>Texte!A240</f>
        <v>Grundfuttertyp</v>
      </c>
      <c r="C117" s="351"/>
      <c r="D117" s="351"/>
      <c r="E117" s="351"/>
      <c r="F117" s="357" t="str">
        <f>Texte!A241</f>
        <v>Menge</v>
      </c>
      <c r="G117" s="357" t="str">
        <f>Texte!A243</f>
        <v>%</v>
      </c>
      <c r="H117" s="358" t="str">
        <f>Texte!A245</f>
        <v>Code</v>
      </c>
      <c r="I117" s="359" t="str">
        <f>Texte!A246</f>
        <v>Wegfuhr</v>
      </c>
      <c r="J117" s="359" t="str">
        <f>Texte!A250</f>
        <v>Zufuhr</v>
      </c>
      <c r="K117" s="360" t="str">
        <f>Texte!A251</f>
        <v>ausser FF</v>
      </c>
      <c r="L117" s="356"/>
      <c r="M117" s="298" t="str">
        <f>Texte!A245</f>
        <v>Code</v>
      </c>
      <c r="N117" s="298"/>
      <c r="O117" s="298"/>
      <c r="P117" s="298"/>
      <c r="Q117" s="298"/>
      <c r="R117" s="298"/>
      <c r="S117" s="298"/>
      <c r="T117" s="298"/>
      <c r="U117" s="350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</row>
    <row r="118" spans="2:47" ht="12.75" customHeight="1">
      <c r="B118" s="361"/>
      <c r="C118" s="232"/>
      <c r="D118" s="232"/>
      <c r="E118" s="232"/>
      <c r="F118" s="362" t="str">
        <f>Texte!A242</f>
        <v>dt</v>
      </c>
      <c r="G118" s="362" t="str">
        <f>Texte!A244</f>
        <v>TS</v>
      </c>
      <c r="H118" s="363" t="s">
        <v>123</v>
      </c>
      <c r="I118" s="364" t="str">
        <f>Texte!A247</f>
        <v>dt TS</v>
      </c>
      <c r="J118" s="364" t="str">
        <f>Texte!A247</f>
        <v>dt TS</v>
      </c>
      <c r="K118" s="364" t="str">
        <f>Texte!A247</f>
        <v>dt TS</v>
      </c>
      <c r="L118" s="356"/>
      <c r="M118" s="298" t="str">
        <f>Texte!A196</f>
        <v>1 = Verkauf</v>
      </c>
      <c r="N118" s="298"/>
      <c r="O118" s="298"/>
      <c r="P118" s="298"/>
      <c r="Q118" s="298"/>
      <c r="R118" s="298"/>
      <c r="S118" s="298"/>
      <c r="V118" s="365">
        <v>1</v>
      </c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</row>
    <row r="119" spans="2:47" ht="12.75" customHeight="1">
      <c r="B119" s="321" t="str">
        <f>Texte!A253</f>
        <v>Gras</v>
      </c>
      <c r="C119" s="322"/>
      <c r="D119" s="322"/>
      <c r="E119" s="322"/>
      <c r="F119" s="97"/>
      <c r="G119" s="4"/>
      <c r="H119" s="55"/>
      <c r="I119" s="366">
        <f aca="true" t="shared" si="8" ref="I119:I129">IF(H119=1,F119*G119/100,"")</f>
      </c>
      <c r="J119" s="366">
        <f aca="true" t="shared" si="9" ref="J119:J139">IF(H119=2,F119*G119/100,"")</f>
      </c>
      <c r="K119" s="367"/>
      <c r="L119" s="356"/>
      <c r="M119" s="298" t="str">
        <f>Texte!A197</f>
        <v>2 = Zukauf</v>
      </c>
      <c r="N119" s="298"/>
      <c r="O119" s="298"/>
      <c r="P119" s="298"/>
      <c r="Q119" s="298"/>
      <c r="R119" s="298"/>
      <c r="S119" s="298"/>
      <c r="V119" s="365">
        <v>2</v>
      </c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</row>
    <row r="120" spans="2:47" ht="12.75" customHeight="1">
      <c r="B120" s="368" t="str">
        <f>Texte!A254</f>
        <v>Grassilage</v>
      </c>
      <c r="C120" s="266"/>
      <c r="D120" s="266"/>
      <c r="E120" s="266"/>
      <c r="F120" s="97"/>
      <c r="G120" s="4"/>
      <c r="H120" s="55"/>
      <c r="I120" s="291">
        <f t="shared" si="8"/>
      </c>
      <c r="J120" s="291">
        <f t="shared" si="9"/>
      </c>
      <c r="K120" s="369"/>
      <c r="L120" s="356"/>
      <c r="M120" s="298" t="str">
        <f>Texte!A198</f>
        <v>3 = ausserhalb FF</v>
      </c>
      <c r="V120" s="370">
        <v>3</v>
      </c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</row>
    <row r="121" spans="2:47" ht="12.75" customHeight="1">
      <c r="B121" s="368" t="str">
        <f>Texte!A255</f>
        <v>Graswürfel</v>
      </c>
      <c r="C121" s="266"/>
      <c r="D121" s="266"/>
      <c r="E121" s="266"/>
      <c r="F121" s="97"/>
      <c r="G121" s="4"/>
      <c r="H121" s="55"/>
      <c r="I121" s="291">
        <f t="shared" si="8"/>
      </c>
      <c r="J121" s="291">
        <f t="shared" si="9"/>
      </c>
      <c r="K121" s="369"/>
      <c r="L121" s="356"/>
      <c r="M121" s="298"/>
      <c r="N121" s="298"/>
      <c r="O121" s="298"/>
      <c r="P121" s="298"/>
      <c r="Q121" s="298"/>
      <c r="R121" s="298"/>
      <c r="S121" s="298"/>
      <c r="T121" s="371"/>
      <c r="U121" s="298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</row>
    <row r="122" spans="2:47" ht="12.75" customHeight="1">
      <c r="B122" s="265" t="str">
        <f>Texte!A256</f>
        <v>Dürrfutter</v>
      </c>
      <c r="C122" s="266"/>
      <c r="D122" s="266"/>
      <c r="E122" s="266"/>
      <c r="F122" s="98"/>
      <c r="G122" s="5"/>
      <c r="H122" s="55"/>
      <c r="I122" s="291">
        <f t="shared" si="8"/>
      </c>
      <c r="J122" s="291">
        <f t="shared" si="9"/>
      </c>
      <c r="K122" s="369"/>
      <c r="L122" s="356"/>
      <c r="U122" s="298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</row>
    <row r="123" spans="2:47" ht="12.75" customHeight="1">
      <c r="B123" s="231" t="str">
        <f>Texte!A257</f>
        <v>Dürrfutter, "nährstoffarm"</v>
      </c>
      <c r="C123" s="297"/>
      <c r="D123" s="297"/>
      <c r="E123" s="297"/>
      <c r="F123" s="99"/>
      <c r="G123" s="58"/>
      <c r="H123" s="55"/>
      <c r="I123" s="286">
        <f t="shared" si="8"/>
      </c>
      <c r="J123" s="286">
        <f t="shared" si="9"/>
      </c>
      <c r="K123" s="369"/>
      <c r="L123" s="356"/>
      <c r="M123" s="298"/>
      <c r="N123" s="298"/>
      <c r="O123" s="298"/>
      <c r="P123" s="298"/>
      <c r="Q123" s="298"/>
      <c r="R123" s="298"/>
      <c r="S123" s="298"/>
      <c r="T123" s="298"/>
      <c r="U123" s="298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</row>
    <row r="124" spans="2:47" ht="12.75" customHeight="1">
      <c r="B124" s="372" t="str">
        <f>Texte!A258</f>
        <v>Getreide-Ganzpflanzensilage</v>
      </c>
      <c r="C124" s="315"/>
      <c r="D124" s="315"/>
      <c r="E124" s="315"/>
      <c r="F124" s="100"/>
      <c r="G124" s="60"/>
      <c r="H124" s="59"/>
      <c r="I124" s="373"/>
      <c r="J124" s="366">
        <f t="shared" si="9"/>
      </c>
      <c r="K124" s="374">
        <f>IF(H124=3,F124*G124/100,"")</f>
      </c>
      <c r="L124" s="356"/>
      <c r="M124" s="298"/>
      <c r="N124" s="298"/>
      <c r="O124" s="298"/>
      <c r="P124" s="298"/>
      <c r="Q124" s="298"/>
      <c r="R124" s="298"/>
      <c r="S124" s="298"/>
      <c r="T124" s="298"/>
      <c r="U124" s="298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</row>
    <row r="125" spans="2:47" ht="12.75" customHeight="1">
      <c r="B125" s="375" t="str">
        <f>Texte!A259</f>
        <v>Silomais</v>
      </c>
      <c r="C125" s="376"/>
      <c r="D125" s="376"/>
      <c r="E125" s="376"/>
      <c r="F125" s="98"/>
      <c r="G125" s="5"/>
      <c r="H125" s="55"/>
      <c r="I125" s="291">
        <f t="shared" si="8"/>
      </c>
      <c r="J125" s="291">
        <f t="shared" si="9"/>
      </c>
      <c r="K125" s="377"/>
      <c r="L125" s="356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</row>
    <row r="126" spans="2:47" ht="12.75" customHeight="1">
      <c r="B126" s="265" t="str">
        <f>Texte!A260</f>
        <v>Grünmais</v>
      </c>
      <c r="C126" s="378"/>
      <c r="D126" s="378"/>
      <c r="E126" s="378"/>
      <c r="F126" s="98"/>
      <c r="G126" s="5"/>
      <c r="H126" s="55"/>
      <c r="I126" s="291">
        <f t="shared" si="8"/>
      </c>
      <c r="J126" s="291">
        <f t="shared" si="9"/>
      </c>
      <c r="K126" s="369"/>
      <c r="L126" s="356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</row>
    <row r="127" spans="2:47" ht="12.75" customHeight="1">
      <c r="B127" s="265" t="str">
        <f>Texte!A261</f>
        <v>Mais Ganzpflanzenwürfel</v>
      </c>
      <c r="C127" s="378"/>
      <c r="D127" s="378"/>
      <c r="E127" s="378"/>
      <c r="F127" s="98"/>
      <c r="G127" s="5"/>
      <c r="H127" s="55"/>
      <c r="I127" s="291">
        <f t="shared" si="8"/>
      </c>
      <c r="J127" s="291">
        <f t="shared" si="9"/>
      </c>
      <c r="K127" s="369"/>
      <c r="L127" s="356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</row>
    <row r="128" spans="2:47" ht="12.75" customHeight="1">
      <c r="B128" s="265" t="str">
        <f>Texte!A262</f>
        <v>CCM (für Rindviehmast)</v>
      </c>
      <c r="C128" s="378"/>
      <c r="D128" s="378"/>
      <c r="E128" s="378"/>
      <c r="F128" s="98"/>
      <c r="G128" s="5"/>
      <c r="H128" s="55"/>
      <c r="I128" s="381">
        <f t="shared" si="8"/>
      </c>
      <c r="J128" s="291">
        <f t="shared" si="9"/>
      </c>
      <c r="K128" s="291">
        <f>IF(H128=3,F128*G128/100,"")</f>
      </c>
      <c r="L128" s="356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</row>
    <row r="129" spans="2:47" ht="12.75" customHeight="1">
      <c r="B129" s="265" t="str">
        <f>Texte!A263</f>
        <v>Futterrüben</v>
      </c>
      <c r="C129" s="378"/>
      <c r="D129" s="378"/>
      <c r="E129" s="378"/>
      <c r="F129" s="98"/>
      <c r="G129" s="5"/>
      <c r="H129" s="55"/>
      <c r="I129" s="291">
        <f t="shared" si="8"/>
      </c>
      <c r="J129" s="291">
        <f t="shared" si="9"/>
      </c>
      <c r="K129" s="379"/>
      <c r="L129" s="356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</row>
    <row r="130" spans="2:47" ht="12.75" customHeight="1">
      <c r="B130" s="265" t="str">
        <f>Texte!A264</f>
        <v>Zuckerrüben</v>
      </c>
      <c r="C130" s="378"/>
      <c r="D130" s="378"/>
      <c r="E130" s="378"/>
      <c r="F130" s="98"/>
      <c r="G130" s="5"/>
      <c r="H130" s="55"/>
      <c r="I130" s="380"/>
      <c r="J130" s="287">
        <f t="shared" si="9"/>
      </c>
      <c r="K130" s="291">
        <f>IF(H130=3,F130*G130/100,"")</f>
      </c>
      <c r="L130" s="356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</row>
    <row r="131" spans="2:47" ht="12.75" customHeight="1">
      <c r="B131" s="265" t="str">
        <f>Texte!A265</f>
        <v>Zuckerrübenschnitzel, frisch</v>
      </c>
      <c r="C131" s="378"/>
      <c r="D131" s="378"/>
      <c r="E131" s="378"/>
      <c r="F131" s="98"/>
      <c r="G131" s="5"/>
      <c r="H131" s="54">
        <v>2</v>
      </c>
      <c r="I131" s="381"/>
      <c r="J131" s="291">
        <f t="shared" si="9"/>
        <v>0</v>
      </c>
      <c r="K131" s="380"/>
      <c r="L131" s="356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</row>
    <row r="132" spans="2:47" ht="12.75" customHeight="1">
      <c r="B132" s="265" t="str">
        <f>Texte!A266</f>
        <v>Zuckerrübenschnitzel, siliert</v>
      </c>
      <c r="C132" s="378"/>
      <c r="D132" s="378"/>
      <c r="E132" s="378"/>
      <c r="F132" s="98"/>
      <c r="G132" s="5"/>
      <c r="H132" s="54">
        <v>2</v>
      </c>
      <c r="I132" s="381"/>
      <c r="J132" s="291">
        <f t="shared" si="9"/>
        <v>0</v>
      </c>
      <c r="K132" s="381"/>
      <c r="L132" s="356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</row>
    <row r="133" spans="2:47" ht="12.75" customHeight="1">
      <c r="B133" s="265" t="str">
        <f>Texte!A267</f>
        <v>Zuckerrübenschnitzel, getrocknet</v>
      </c>
      <c r="C133" s="378"/>
      <c r="D133" s="378"/>
      <c r="E133" s="378"/>
      <c r="F133" s="98"/>
      <c r="G133" s="5"/>
      <c r="H133" s="54">
        <v>2</v>
      </c>
      <c r="I133" s="381"/>
      <c r="J133" s="291">
        <f t="shared" si="9"/>
        <v>0</v>
      </c>
      <c r="K133" s="381"/>
      <c r="L133" s="356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</row>
    <row r="134" spans="2:47" ht="12.75" customHeight="1">
      <c r="B134" s="265" t="str">
        <f>Texte!A268</f>
        <v>Rübenblätter</v>
      </c>
      <c r="C134" s="378"/>
      <c r="D134" s="378"/>
      <c r="E134" s="378"/>
      <c r="F134" s="98"/>
      <c r="G134" s="5"/>
      <c r="H134" s="54">
        <v>2</v>
      </c>
      <c r="I134" s="381"/>
      <c r="J134" s="291">
        <f t="shared" si="9"/>
        <v>0</v>
      </c>
      <c r="K134" s="382"/>
      <c r="L134" s="356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</row>
    <row r="135" spans="2:47" ht="12.75" customHeight="1">
      <c r="B135" s="265" t="str">
        <f>Texte!A269</f>
        <v>Kartoffeln</v>
      </c>
      <c r="C135" s="378"/>
      <c r="D135" s="378"/>
      <c r="E135" s="378"/>
      <c r="F135" s="98"/>
      <c r="G135" s="5"/>
      <c r="H135" s="55"/>
      <c r="I135" s="381"/>
      <c r="J135" s="291">
        <f t="shared" si="9"/>
      </c>
      <c r="K135" s="291">
        <f>IF(H135=3,F135*G135/100,"")</f>
      </c>
      <c r="L135" s="356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</row>
    <row r="136" spans="2:47" ht="12.75" customHeight="1">
      <c r="B136" s="265" t="str">
        <f>Texte!A270</f>
        <v>Chicorée-Wurzeln</v>
      </c>
      <c r="C136" s="378"/>
      <c r="D136" s="378"/>
      <c r="E136" s="378"/>
      <c r="F136" s="98"/>
      <c r="G136" s="5"/>
      <c r="H136" s="54">
        <v>2</v>
      </c>
      <c r="I136" s="381"/>
      <c r="J136" s="291">
        <f t="shared" si="9"/>
        <v>0</v>
      </c>
      <c r="K136" s="380"/>
      <c r="L136" s="356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</row>
    <row r="137" spans="2:47" ht="12.75" customHeight="1">
      <c r="B137" s="265" t="str">
        <f>Texte!A271</f>
        <v>Abgang Obst- / Gemüseverwertung</v>
      </c>
      <c r="C137" s="378"/>
      <c r="D137" s="378"/>
      <c r="E137" s="378"/>
      <c r="F137" s="98"/>
      <c r="G137" s="5"/>
      <c r="H137" s="54">
        <v>2</v>
      </c>
      <c r="I137" s="381"/>
      <c r="J137" s="291">
        <f t="shared" si="9"/>
        <v>0</v>
      </c>
      <c r="K137" s="381"/>
      <c r="L137" s="356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</row>
    <row r="138" spans="2:47" ht="12.75" customHeight="1">
      <c r="B138" s="265" t="str">
        <f>Texte!A272</f>
        <v>Biertreber</v>
      </c>
      <c r="C138" s="378"/>
      <c r="D138" s="378"/>
      <c r="E138" s="378"/>
      <c r="F138" s="98"/>
      <c r="G138" s="5"/>
      <c r="H138" s="54">
        <v>2</v>
      </c>
      <c r="I138" s="381"/>
      <c r="J138" s="291">
        <f t="shared" si="9"/>
        <v>0</v>
      </c>
      <c r="K138" s="381"/>
      <c r="L138" s="356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</row>
    <row r="139" spans="2:47" ht="12.75" customHeight="1">
      <c r="B139" s="383" t="str">
        <f>Texte!A273</f>
        <v>Zufuhr von Stroh zur Verfütterung</v>
      </c>
      <c r="C139" s="384"/>
      <c r="D139" s="384"/>
      <c r="E139" s="384"/>
      <c r="F139" s="101"/>
      <c r="G139" s="65"/>
      <c r="H139" s="66">
        <v>2</v>
      </c>
      <c r="I139" s="385"/>
      <c r="J139" s="294">
        <f t="shared" si="9"/>
        <v>0</v>
      </c>
      <c r="K139" s="385"/>
      <c r="L139" s="386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</row>
    <row r="140" spans="2:47" ht="9" customHeight="1">
      <c r="B140" s="231"/>
      <c r="C140" s="168"/>
      <c r="D140" s="168"/>
      <c r="E140" s="168"/>
      <c r="F140" s="298"/>
      <c r="G140" s="298"/>
      <c r="H140" s="298"/>
      <c r="I140" s="298"/>
      <c r="J140" s="298"/>
      <c r="K140" s="298"/>
      <c r="L140" s="387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</row>
    <row r="141" spans="2:47" ht="12.75" customHeight="1">
      <c r="B141" s="246" t="str">
        <f>Texte!A274</f>
        <v>C1: Total Wegfuhr Wiesen und Weidefutter</v>
      </c>
      <c r="C141" s="168"/>
      <c r="D141" s="168"/>
      <c r="E141" s="298"/>
      <c r="F141" s="298"/>
      <c r="H141" s="350"/>
      <c r="I141" s="388">
        <f>SUM(I119:I123)</f>
        <v>0</v>
      </c>
      <c r="J141" s="350"/>
      <c r="K141" s="350"/>
      <c r="L141" s="348">
        <f>I141</f>
        <v>0</v>
      </c>
      <c r="M141" s="298" t="str">
        <f>Texte!A$247</f>
        <v>dt TS</v>
      </c>
      <c r="N141" s="298"/>
      <c r="O141" s="298"/>
      <c r="P141" s="298"/>
      <c r="Q141" s="298"/>
      <c r="R141" s="298"/>
      <c r="S141" s="298"/>
      <c r="T141" s="298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</row>
    <row r="142" spans="2:47" ht="12.75" customHeight="1">
      <c r="B142" s="246" t="str">
        <f>Texte!A275</f>
        <v>C2: Total Wegfuhr übrige Grundfutter</v>
      </c>
      <c r="C142" s="168"/>
      <c r="D142" s="168"/>
      <c r="E142" s="298"/>
      <c r="F142" s="298"/>
      <c r="G142" s="350" t="s">
        <v>133</v>
      </c>
      <c r="H142" s="298"/>
      <c r="I142" s="388">
        <f>SUM(I124:I139)</f>
        <v>0</v>
      </c>
      <c r="J142" s="389"/>
      <c r="K142" s="389"/>
      <c r="L142" s="348">
        <f>I142</f>
        <v>0</v>
      </c>
      <c r="M142" s="298" t="str">
        <f>Texte!A$247</f>
        <v>dt TS</v>
      </c>
      <c r="N142" s="298"/>
      <c r="O142" s="298"/>
      <c r="P142" s="298"/>
      <c r="Q142" s="298"/>
      <c r="R142" s="298"/>
      <c r="S142" s="298"/>
      <c r="T142" s="390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</row>
    <row r="143" spans="2:47" ht="12.75" customHeight="1">
      <c r="B143" s="246" t="str">
        <f>Texte!A276</f>
        <v>C3: Total Zufuhr Wiesen- und Weidefutter</v>
      </c>
      <c r="C143" s="168"/>
      <c r="D143" s="168"/>
      <c r="E143" s="298"/>
      <c r="F143" s="298"/>
      <c r="G143" s="350"/>
      <c r="H143" s="298"/>
      <c r="I143" s="298"/>
      <c r="J143" s="348">
        <f>SUM(J119:J123)</f>
        <v>0</v>
      </c>
      <c r="K143" s="389"/>
      <c r="L143" s="348">
        <f>J143*-1</f>
        <v>0</v>
      </c>
      <c r="M143" s="298"/>
      <c r="N143" s="298"/>
      <c r="O143" s="298"/>
      <c r="P143" s="298"/>
      <c r="Q143" s="298"/>
      <c r="R143" s="298"/>
      <c r="S143" s="298"/>
      <c r="T143" s="390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</row>
    <row r="144" spans="2:47" ht="12.75" customHeight="1">
      <c r="B144" s="246" t="str">
        <f>Texte!A277</f>
        <v>C4: Total Zufuhr übrige Grundfutter</v>
      </c>
      <c r="C144" s="168"/>
      <c r="D144" s="168"/>
      <c r="E144" s="168"/>
      <c r="F144" s="298"/>
      <c r="G144" s="298"/>
      <c r="H144" s="350" t="s">
        <v>134</v>
      </c>
      <c r="I144" s="298"/>
      <c r="J144" s="348">
        <f>SUM(J124:J139)</f>
        <v>0</v>
      </c>
      <c r="L144" s="295">
        <f>J144*-1</f>
        <v>0</v>
      </c>
      <c r="M144" s="298" t="str">
        <f>Texte!A$247</f>
        <v>dt TS</v>
      </c>
      <c r="N144" s="298"/>
      <c r="O144" s="298"/>
      <c r="P144" s="298"/>
      <c r="Q144" s="298"/>
      <c r="R144" s="298"/>
      <c r="S144" s="298"/>
      <c r="T144" s="390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</row>
    <row r="145" spans="2:47" ht="12.75" customHeight="1">
      <c r="B145" s="246" t="str">
        <f>Texte!A278</f>
        <v>C5: Grundfutterproduktion ausserhalb der Futterfläche</v>
      </c>
      <c r="C145" s="168"/>
      <c r="D145" s="168"/>
      <c r="E145" s="168"/>
      <c r="F145" s="298"/>
      <c r="G145" s="298"/>
      <c r="H145" s="350"/>
      <c r="I145" s="298"/>
      <c r="J145" s="298"/>
      <c r="K145" s="348">
        <f>SUM(K119:K139)</f>
        <v>0</v>
      </c>
      <c r="L145" s="391">
        <f>K145*-1</f>
        <v>0</v>
      </c>
      <c r="M145" s="298"/>
      <c r="N145" s="298"/>
      <c r="O145" s="298"/>
      <c r="P145" s="298"/>
      <c r="Q145" s="298"/>
      <c r="R145" s="298"/>
      <c r="S145" s="298"/>
      <c r="T145" s="390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</row>
    <row r="146" spans="2:47" ht="11.25" customHeight="1">
      <c r="B146" s="231"/>
      <c r="C146" s="168"/>
      <c r="D146" s="168"/>
      <c r="E146" s="168"/>
      <c r="F146" s="392"/>
      <c r="G146" s="392"/>
      <c r="H146" s="392"/>
      <c r="I146" s="392"/>
      <c r="J146" s="392"/>
      <c r="K146" s="392"/>
      <c r="L146" s="387"/>
      <c r="M146" s="298"/>
      <c r="N146" s="298"/>
      <c r="O146" s="298"/>
      <c r="P146" s="298"/>
      <c r="Q146" s="298"/>
      <c r="R146" s="298"/>
      <c r="S146" s="298"/>
      <c r="T146" s="298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</row>
    <row r="147" spans="2:47" ht="12.75" customHeight="1">
      <c r="B147" s="246" t="str">
        <f>Texte!A279</f>
        <v>Total Netto-Grundfutterbedarf</v>
      </c>
      <c r="C147" s="223"/>
      <c r="D147" s="223"/>
      <c r="E147" s="223"/>
      <c r="F147" s="298"/>
      <c r="G147" s="298"/>
      <c r="H147" s="298"/>
      <c r="I147" s="298"/>
      <c r="J147" s="298"/>
      <c r="K147" s="350" t="s">
        <v>136</v>
      </c>
      <c r="L147" s="295">
        <f>SUM(L115:L145)</f>
        <v>0</v>
      </c>
      <c r="M147" s="298" t="str">
        <f>Texte!A$247</f>
        <v>dt TS</v>
      </c>
      <c r="N147" s="298"/>
      <c r="O147" s="298"/>
      <c r="P147" s="298"/>
      <c r="Q147" s="298"/>
      <c r="R147" s="298"/>
      <c r="S147" s="298"/>
      <c r="T147" s="298"/>
      <c r="V147" s="213" t="s">
        <v>584</v>
      </c>
      <c r="W147" s="276"/>
      <c r="X147" s="168"/>
      <c r="Y147" s="168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</row>
    <row r="148" spans="2:47" ht="12.75" customHeight="1">
      <c r="B148" s="231" t="str">
        <f>Texte!A280</f>
        <v>C6: Zuzüglich Lagerungs- und Krippenverluste, 0-5% vom Netto-Grundfutterbedarf</v>
      </c>
      <c r="C148" s="223"/>
      <c r="D148" s="223"/>
      <c r="E148" s="223"/>
      <c r="F148" s="298"/>
      <c r="G148" s="298"/>
      <c r="H148" s="298"/>
      <c r="I148" s="298"/>
      <c r="J148" s="298"/>
      <c r="K148" s="6"/>
      <c r="L148" s="348">
        <f>L147*K148/100</f>
        <v>0</v>
      </c>
      <c r="M148" s="298" t="str">
        <f>Texte!A$247</f>
        <v>dt TS</v>
      </c>
      <c r="N148" s="298"/>
      <c r="O148" s="298"/>
      <c r="P148" s="298"/>
      <c r="Q148" s="298"/>
      <c r="R148" s="298"/>
      <c r="S148" s="298"/>
      <c r="V148" s="483" t="b">
        <f>OR(AND(L74=0,K148&lt;=2.5),AND(L74&gt;0,K148&lt;=5))</f>
        <v>1</v>
      </c>
      <c r="W148" s="276" t="s">
        <v>604</v>
      </c>
      <c r="X148" s="168"/>
      <c r="Y148" s="168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</row>
    <row r="149" spans="2:47" ht="12.75" customHeight="1">
      <c r="B149" s="231" t="str">
        <f>Texte!A281</f>
        <v>C7: Fehlerbereich der Grundfutterbilanz: 0-5% vom Netto-Grundfutterbedarf</v>
      </c>
      <c r="C149" s="223"/>
      <c r="D149" s="223"/>
      <c r="E149" s="223"/>
      <c r="F149" s="298"/>
      <c r="G149" s="298"/>
      <c r="H149" s="298"/>
      <c r="I149" s="350"/>
      <c r="J149" s="298"/>
      <c r="K149" s="63"/>
      <c r="L149" s="348">
        <f>L147*K149/100</f>
        <v>0</v>
      </c>
      <c r="M149" s="298" t="str">
        <f>Texte!A$247</f>
        <v>dt TS</v>
      </c>
      <c r="N149" s="298"/>
      <c r="O149" s="298"/>
      <c r="P149" s="298"/>
      <c r="Q149" s="298"/>
      <c r="R149" s="298"/>
      <c r="S149" s="298"/>
      <c r="T149" s="298"/>
      <c r="V149" s="168"/>
      <c r="W149" s="168"/>
      <c r="X149" s="168"/>
      <c r="Y149" s="168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</row>
    <row r="150" spans="2:47" ht="12.75" customHeight="1">
      <c r="B150" s="252" t="str">
        <f>Texte!A282</f>
        <v>Total auf der Futterfläche zu produzierendes Grundfutter (GFprod)</v>
      </c>
      <c r="C150" s="253"/>
      <c r="D150" s="253"/>
      <c r="E150" s="253"/>
      <c r="F150" s="393"/>
      <c r="G150" s="393"/>
      <c r="H150" s="393"/>
      <c r="I150" s="393"/>
      <c r="J150" s="393"/>
      <c r="K150" s="253"/>
      <c r="L150" s="295">
        <f>SUM(L147:L149)</f>
        <v>0</v>
      </c>
      <c r="M150" s="298" t="str">
        <f>Texte!A$247</f>
        <v>dt TS</v>
      </c>
      <c r="N150" s="298"/>
      <c r="O150" s="298"/>
      <c r="P150" s="298"/>
      <c r="Q150" s="298"/>
      <c r="R150" s="298"/>
      <c r="S150" s="298"/>
      <c r="T150" s="298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</row>
    <row r="151" spans="2:47" ht="11.25" customHeight="1">
      <c r="B151" s="343"/>
      <c r="C151" s="343"/>
      <c r="D151" s="343"/>
      <c r="I151" s="168"/>
      <c r="J151" s="168"/>
      <c r="Y151" s="168"/>
      <c r="AA151" s="394"/>
      <c r="AB151" s="195"/>
      <c r="AC151" s="506" t="s">
        <v>581</v>
      </c>
      <c r="AD151" s="395">
        <v>0.3</v>
      </c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</row>
    <row r="152" spans="2:47" ht="15.75">
      <c r="B152" s="190" t="str">
        <f>Texte!A284</f>
        <v>Teil D: Bilanz</v>
      </c>
      <c r="C152" s="343"/>
      <c r="D152" s="343"/>
      <c r="E152" s="343"/>
      <c r="V152" s="194"/>
      <c r="W152" s="194" t="s">
        <v>13</v>
      </c>
      <c r="X152" s="194" t="s">
        <v>14</v>
      </c>
      <c r="Y152" s="276"/>
      <c r="Z152" s="194"/>
      <c r="AA152" s="394" t="s">
        <v>25</v>
      </c>
      <c r="AB152" s="395"/>
      <c r="AD152" s="396" t="s">
        <v>170</v>
      </c>
      <c r="AE152" s="396"/>
      <c r="AF152" s="396"/>
      <c r="AG152" s="394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</row>
    <row r="153" spans="22:47" ht="7.5" customHeight="1">
      <c r="V153" s="194"/>
      <c r="W153" s="194"/>
      <c r="X153" s="194"/>
      <c r="Y153" s="194"/>
      <c r="Z153" s="194"/>
      <c r="AA153" s="195"/>
      <c r="AB153" s="195"/>
      <c r="AD153" s="394"/>
      <c r="AE153" s="394"/>
      <c r="AF153" s="394"/>
      <c r="AG153" s="394"/>
      <c r="AI153" s="397"/>
      <c r="AJ153" s="397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</row>
    <row r="154" spans="2:45" ht="11.25" customHeight="1">
      <c r="B154" s="372"/>
      <c r="C154" s="315"/>
      <c r="D154" s="315"/>
      <c r="E154" s="398"/>
      <c r="F154" s="399" t="str">
        <f>Texte!A295</f>
        <v>Total</v>
      </c>
      <c r="G154" s="400"/>
      <c r="H154" s="225" t="str">
        <f>Texte!A297</f>
        <v>Wiesen- und</v>
      </c>
      <c r="I154" s="227"/>
      <c r="J154" s="225" t="str">
        <f>Texte!A299</f>
        <v>Übriges Grundfutter</v>
      </c>
      <c r="K154" s="227"/>
      <c r="L154" s="399" t="str">
        <f>Texte!A301</f>
        <v>Kraftfutter</v>
      </c>
      <c r="M154" s="400"/>
      <c r="V154" s="194" t="s">
        <v>952</v>
      </c>
      <c r="W154" s="276">
        <v>75</v>
      </c>
      <c r="X154" s="401">
        <v>85</v>
      </c>
      <c r="Y154" s="394"/>
      <c r="Z154" s="394"/>
      <c r="AA154" s="195" t="str">
        <f>Texte!A225</f>
        <v>Talzone</v>
      </c>
      <c r="AB154" s="395">
        <v>1</v>
      </c>
      <c r="AD154" s="483">
        <f aca="true" t="shared" si="10" ref="AD154:AD159">($AB154*C191)+(E191*AD$151*$AB154)</f>
        <v>0</v>
      </c>
      <c r="AE154" s="394"/>
      <c r="AF154" s="394"/>
      <c r="AG154" s="394"/>
      <c r="AH154" s="397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</row>
    <row r="155" spans="2:45" ht="11.25" customHeight="1">
      <c r="B155" s="231"/>
      <c r="C155" s="168"/>
      <c r="D155" s="168"/>
      <c r="E155" s="403"/>
      <c r="F155" s="404" t="str">
        <f>Texte!A296</f>
        <v>Bedarf</v>
      </c>
      <c r="G155" s="405"/>
      <c r="H155" s="239" t="str">
        <f>Texte!A298</f>
        <v>Weidefutter</v>
      </c>
      <c r="I155" s="240"/>
      <c r="J155" s="239" t="str">
        <f>Texte!A300</f>
        <v>total</v>
      </c>
      <c r="K155" s="240"/>
      <c r="L155" s="406"/>
      <c r="M155" s="254"/>
      <c r="V155" s="194" t="s">
        <v>15</v>
      </c>
      <c r="W155" s="276">
        <v>15</v>
      </c>
      <c r="X155" s="401">
        <v>5</v>
      </c>
      <c r="Y155" s="394"/>
      <c r="Z155" s="394"/>
      <c r="AA155" s="195" t="str">
        <f>Texte!A226</f>
        <v>Hügelzone</v>
      </c>
      <c r="AB155" s="395">
        <v>0.8</v>
      </c>
      <c r="AD155" s="483">
        <f t="shared" si="10"/>
        <v>0</v>
      </c>
      <c r="AE155" s="394"/>
      <c r="AF155" s="394"/>
      <c r="AG155" s="394"/>
      <c r="AH155" s="397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</row>
    <row r="156" spans="2:45" ht="11.25" customHeight="1">
      <c r="B156" s="231"/>
      <c r="C156" s="168"/>
      <c r="D156" s="168"/>
      <c r="E156" s="403"/>
      <c r="F156" s="601" t="s">
        <v>1011</v>
      </c>
      <c r="G156" s="602"/>
      <c r="H156" s="603" t="s">
        <v>1012</v>
      </c>
      <c r="I156" s="604"/>
      <c r="J156" s="603" t="s">
        <v>12</v>
      </c>
      <c r="K156" s="605"/>
      <c r="L156" s="606" t="str">
        <f>Texte!A302</f>
        <v>(A4+A7 in TS)</v>
      </c>
      <c r="M156" s="607"/>
      <c r="V156" s="194" t="s">
        <v>16</v>
      </c>
      <c r="W156" s="276">
        <v>10</v>
      </c>
      <c r="X156" s="401">
        <v>10</v>
      </c>
      <c r="Y156" s="394"/>
      <c r="Z156" s="394"/>
      <c r="AA156" s="195" t="str">
        <f>Texte!A227</f>
        <v>Bergzone 1</v>
      </c>
      <c r="AB156" s="395">
        <v>0.7</v>
      </c>
      <c r="AD156" s="483">
        <f t="shared" si="10"/>
        <v>0</v>
      </c>
      <c r="AE156" s="394"/>
      <c r="AF156" s="394"/>
      <c r="AG156" s="394"/>
      <c r="AH156" s="397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</row>
    <row r="157" spans="2:45" ht="11.25" customHeight="1">
      <c r="B157" s="241"/>
      <c r="C157" s="211"/>
      <c r="D157" s="211"/>
      <c r="E157" s="242"/>
      <c r="F157" s="256" t="s">
        <v>145</v>
      </c>
      <c r="G157" s="407" t="s">
        <v>146</v>
      </c>
      <c r="H157" s="256" t="s">
        <v>145</v>
      </c>
      <c r="I157" s="256" t="s">
        <v>147</v>
      </c>
      <c r="J157" s="256" t="s">
        <v>145</v>
      </c>
      <c r="K157" s="408" t="s">
        <v>146</v>
      </c>
      <c r="L157" s="409" t="s">
        <v>145</v>
      </c>
      <c r="M157" s="410" t="s">
        <v>147</v>
      </c>
      <c r="V157" s="194" t="s">
        <v>607</v>
      </c>
      <c r="W157" s="276">
        <v>90</v>
      </c>
      <c r="X157" s="401">
        <v>90</v>
      </c>
      <c r="Y157" s="394"/>
      <c r="Z157" s="394"/>
      <c r="AA157" s="195" t="str">
        <f>Texte!A228</f>
        <v>Bergzone 2</v>
      </c>
      <c r="AB157" s="395">
        <v>0.6</v>
      </c>
      <c r="AD157" s="483">
        <f t="shared" si="10"/>
        <v>0</v>
      </c>
      <c r="AE157" s="394"/>
      <c r="AF157" s="394"/>
      <c r="AG157" s="394"/>
      <c r="AH157" s="397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</row>
    <row r="158" spans="2:45" ht="11.25" customHeight="1">
      <c r="B158" s="321" t="str">
        <f>Texte!A285</f>
        <v>Gesamtverzehr</v>
      </c>
      <c r="C158" s="322"/>
      <c r="D158" s="322"/>
      <c r="E158" s="323"/>
      <c r="F158" s="374">
        <f>$N$81</f>
        <v>0</v>
      </c>
      <c r="G158" s="411"/>
      <c r="H158" s="161"/>
      <c r="I158" s="411">
        <f>IF(H164&lt;=-0.5,(H158/H164)*-100,0)</f>
        <v>0</v>
      </c>
      <c r="J158" s="161"/>
      <c r="K158" s="411">
        <f>IF(J164&lt;=-0.5,(J158/J164)*-100,0)</f>
        <v>0</v>
      </c>
      <c r="L158" s="374"/>
      <c r="M158" s="411">
        <f>IF(L164&lt;=-0.5,(L158/L164)*-100,0)</f>
        <v>0</v>
      </c>
      <c r="Y158" s="394"/>
      <c r="Z158" s="394"/>
      <c r="AA158" s="195" t="str">
        <f>Texte!A229</f>
        <v>Bergzone 3</v>
      </c>
      <c r="AB158" s="395">
        <v>0.5</v>
      </c>
      <c r="AD158" s="483">
        <f t="shared" si="10"/>
        <v>0</v>
      </c>
      <c r="AE158" s="394"/>
      <c r="AF158" s="394"/>
      <c r="AG158" s="199" t="str">
        <f>Texte!A328</f>
        <v>Grenzwerte:</v>
      </c>
      <c r="AH158" s="162"/>
      <c r="AI158" s="162"/>
      <c r="AJ158" s="162"/>
      <c r="AK158" s="171"/>
      <c r="AL158" s="171"/>
      <c r="AM158" s="171"/>
      <c r="AN158" s="171"/>
      <c r="AO158" s="171"/>
      <c r="AP158" s="171"/>
      <c r="AQ158" s="171"/>
      <c r="AR158" s="171"/>
      <c r="AS158" s="171"/>
    </row>
    <row r="159" spans="2:45" ht="11.25" customHeight="1">
      <c r="B159" s="325" t="str">
        <f>Texte!A286</f>
        <v>[+] Verluste und Fehlerbereich</v>
      </c>
      <c r="C159" s="326"/>
      <c r="D159" s="326"/>
      <c r="E159" s="327"/>
      <c r="F159" s="161">
        <f>SUM($L$148:$L$149)</f>
        <v>0</v>
      </c>
      <c r="G159" s="413"/>
      <c r="H159" s="161"/>
      <c r="I159" s="413"/>
      <c r="J159" s="161"/>
      <c r="K159" s="413"/>
      <c r="L159" s="161"/>
      <c r="M159" s="413"/>
      <c r="V159" s="412"/>
      <c r="W159" s="276"/>
      <c r="X159" s="194"/>
      <c r="Y159" s="394"/>
      <c r="Z159" s="394"/>
      <c r="AA159" s="195" t="str">
        <f>Texte!A230</f>
        <v>Bergzone 4</v>
      </c>
      <c r="AB159" s="395">
        <v>0.4</v>
      </c>
      <c r="AD159" s="483">
        <f t="shared" si="10"/>
        <v>0</v>
      </c>
      <c r="AE159" s="394"/>
      <c r="AF159" s="394"/>
      <c r="AG159" s="521"/>
      <c r="AH159" s="522"/>
      <c r="AI159" s="450" t="str">
        <f>IF($U$11=1,Texte!A329,IF($U$11="",Texte!A332,Texte!A330))</f>
        <v>Keine Gebietszuteilung</v>
      </c>
      <c r="AJ159" s="450"/>
      <c r="AK159" s="171"/>
      <c r="AL159" s="171"/>
      <c r="AM159" s="171"/>
      <c r="AN159" s="171"/>
      <c r="AO159" s="171"/>
      <c r="AP159" s="171"/>
      <c r="AQ159" s="171"/>
      <c r="AR159" s="171"/>
      <c r="AS159" s="171"/>
    </row>
    <row r="160" spans="2:45" ht="11.25" customHeight="1">
      <c r="B160" s="325" t="str">
        <f>Texte!A287</f>
        <v>[+] Verzehr während Sömmerung</v>
      </c>
      <c r="C160" s="326"/>
      <c r="D160" s="326"/>
      <c r="E160" s="327"/>
      <c r="F160" s="161">
        <f>L84+N85</f>
        <v>0</v>
      </c>
      <c r="G160" s="413"/>
      <c r="H160" s="161"/>
      <c r="I160" s="413"/>
      <c r="J160" s="161"/>
      <c r="K160" s="413"/>
      <c r="L160" s="161"/>
      <c r="M160" s="413"/>
      <c r="V160" s="412"/>
      <c r="W160" s="276"/>
      <c r="X160" s="194"/>
      <c r="Y160" s="394"/>
      <c r="Z160" s="394"/>
      <c r="AA160" s="195"/>
      <c r="AB160" s="395"/>
      <c r="AD160" s="485"/>
      <c r="AE160" s="394"/>
      <c r="AF160" s="394"/>
      <c r="AG160" s="231"/>
      <c r="AH160" s="168"/>
      <c r="AI160" s="600"/>
      <c r="AJ160" s="247"/>
      <c r="AK160" s="171"/>
      <c r="AL160" s="171"/>
      <c r="AM160" s="171"/>
      <c r="AN160" s="171"/>
      <c r="AO160" s="171"/>
      <c r="AP160" s="171"/>
      <c r="AQ160" s="171"/>
      <c r="AR160" s="171"/>
      <c r="AS160" s="171"/>
    </row>
    <row r="161" spans="2:45" ht="11.25" customHeight="1">
      <c r="B161" s="325" t="str">
        <f>Texte!A288</f>
        <v>Produktion</v>
      </c>
      <c r="C161" s="326"/>
      <c r="D161" s="326"/>
      <c r="E161" s="327"/>
      <c r="F161" s="161"/>
      <c r="G161" s="413"/>
      <c r="H161" s="161">
        <f>$L$110</f>
        <v>0</v>
      </c>
      <c r="I161" s="413"/>
      <c r="J161" s="161">
        <f>$L$111</f>
        <v>0</v>
      </c>
      <c r="K161" s="413"/>
      <c r="L161" s="161"/>
      <c r="M161" s="413"/>
      <c r="V161" s="414"/>
      <c r="W161" s="276"/>
      <c r="X161" s="194"/>
      <c r="Y161" s="394"/>
      <c r="Z161" s="394"/>
      <c r="AA161" s="195"/>
      <c r="AD161" s="485"/>
      <c r="AE161" s="394">
        <f>I17</f>
        <v>0</v>
      </c>
      <c r="AF161" s="394">
        <f>L17</f>
        <v>0</v>
      </c>
      <c r="AG161" s="231" t="str">
        <f>Texte!$A297</f>
        <v>Wiesen- und</v>
      </c>
      <c r="AH161" s="168"/>
      <c r="AI161" s="519">
        <f>IF($U$11=1,$W$154,IF($U$11="","",$X$154))</f>
      </c>
      <c r="AJ161" s="520"/>
      <c r="AK161" s="171"/>
      <c r="AL161" s="171"/>
      <c r="AM161" s="171"/>
      <c r="AN161" s="171"/>
      <c r="AO161" s="171"/>
      <c r="AP161" s="171"/>
      <c r="AQ161" s="171"/>
      <c r="AR161" s="171"/>
      <c r="AS161" s="171"/>
    </row>
    <row r="162" spans="2:45" ht="12.75" customHeight="1">
      <c r="B162" s="325" t="str">
        <f>Texte!A289</f>
        <v>[+] Zufuhr</v>
      </c>
      <c r="C162" s="326"/>
      <c r="D162" s="326"/>
      <c r="E162" s="327"/>
      <c r="F162" s="161"/>
      <c r="G162" s="413"/>
      <c r="H162" s="161">
        <f>$J$143</f>
        <v>0</v>
      </c>
      <c r="I162" s="413"/>
      <c r="J162" s="161">
        <f>SUM($J$144,$K$145)</f>
        <v>0</v>
      </c>
      <c r="K162" s="413"/>
      <c r="L162" s="161">
        <f>$N$80*0.88</f>
        <v>0</v>
      </c>
      <c r="M162" s="413"/>
      <c r="V162" s="394" t="s">
        <v>1096</v>
      </c>
      <c r="W162" s="276" t="s">
        <v>13</v>
      </c>
      <c r="X162" s="194" t="s">
        <v>14</v>
      </c>
      <c r="Y162" s="394"/>
      <c r="Z162" s="394"/>
      <c r="AA162" s="195"/>
      <c r="AB162" s="195"/>
      <c r="AD162" s="402"/>
      <c r="AE162" s="394"/>
      <c r="AF162" s="394"/>
      <c r="AG162" s="265" t="str">
        <f>Texte!$A298</f>
        <v>Weidefutter</v>
      </c>
      <c r="AH162" s="378"/>
      <c r="AI162" s="452"/>
      <c r="AJ162" s="453"/>
      <c r="AK162" s="171"/>
      <c r="AL162" s="171"/>
      <c r="AM162" s="171"/>
      <c r="AN162" s="171"/>
      <c r="AO162" s="171"/>
      <c r="AP162" s="171"/>
      <c r="AQ162" s="171"/>
      <c r="AR162" s="171"/>
      <c r="AS162" s="171"/>
    </row>
    <row r="163" spans="2:45" ht="12.75" customHeight="1">
      <c r="B163" s="325" t="str">
        <f>Texte!A290</f>
        <v>[+] Futter während Sömmerung</v>
      </c>
      <c r="C163" s="326"/>
      <c r="D163" s="326"/>
      <c r="E163" s="327"/>
      <c r="F163" s="161"/>
      <c r="G163" s="413"/>
      <c r="H163" s="161">
        <f>L84</f>
        <v>0</v>
      </c>
      <c r="I163" s="413"/>
      <c r="J163" s="161"/>
      <c r="K163" s="413"/>
      <c r="L163" s="161">
        <f>N85</f>
        <v>0</v>
      </c>
      <c r="M163" s="413"/>
      <c r="V163" s="394"/>
      <c r="W163" s="276"/>
      <c r="X163" s="194"/>
      <c r="Y163" s="394"/>
      <c r="Z163" s="394"/>
      <c r="AA163" s="195"/>
      <c r="AB163" s="195"/>
      <c r="AD163" s="402"/>
      <c r="AE163" s="394"/>
      <c r="AF163" s="394"/>
      <c r="AG163" s="231"/>
      <c r="AH163" s="168"/>
      <c r="AI163" s="519"/>
      <c r="AJ163" s="520"/>
      <c r="AK163" s="171"/>
      <c r="AL163" s="171"/>
      <c r="AM163" s="171"/>
      <c r="AN163" s="171"/>
      <c r="AO163" s="171"/>
      <c r="AP163" s="171"/>
      <c r="AQ163" s="171"/>
      <c r="AR163" s="171"/>
      <c r="AS163" s="171"/>
    </row>
    <row r="164" spans="2:45" ht="12.75" customHeight="1">
      <c r="B164" s="325" t="str">
        <f>Texte!A291</f>
        <v>[-] Wegfuhr</v>
      </c>
      <c r="C164" s="326"/>
      <c r="D164" s="326"/>
      <c r="E164" s="327"/>
      <c r="F164" s="291"/>
      <c r="G164" s="413"/>
      <c r="H164" s="291">
        <f>$I$141*-1</f>
        <v>0</v>
      </c>
      <c r="I164" s="413"/>
      <c r="J164" s="291">
        <f>$I$142*-1</f>
        <v>0</v>
      </c>
      <c r="K164" s="413"/>
      <c r="L164" s="291"/>
      <c r="M164" s="413"/>
      <c r="V164" s="394" t="s">
        <v>606</v>
      </c>
      <c r="W164" s="483" t="str">
        <f>IF(AND($U$11=1,$I$166&gt;=$W$154),"ok","nein")</f>
        <v>nein</v>
      </c>
      <c r="X164" s="483" t="str">
        <f>IF(AND($U$11=2,$I$166&gt;=$X$154),"ok","nein")</f>
        <v>nein</v>
      </c>
      <c r="Y164" s="394"/>
      <c r="Z164" s="394"/>
      <c r="AA164" s="195" t="s">
        <v>1097</v>
      </c>
      <c r="AB164" s="485"/>
      <c r="AC164" s="196"/>
      <c r="AD164" s="483">
        <f>IF($J$107=0,"",SUM($AD$154:$AD$159)/$J$107)</f>
      </c>
      <c r="AE164" s="394"/>
      <c r="AF164" s="394"/>
      <c r="AG164" s="448" t="str">
        <f>Texte!$A301</f>
        <v>Kraftfutter</v>
      </c>
      <c r="AH164" s="449"/>
      <c r="AI164" s="508">
        <f>IF($U$11=1,$W$156,IF($U$11="","",$X$156))</f>
      </c>
      <c r="AJ164" s="454"/>
      <c r="AK164" s="171"/>
      <c r="AL164" s="171"/>
      <c r="AM164" s="171"/>
      <c r="AN164" s="171"/>
      <c r="AO164" s="171"/>
      <c r="AP164" s="171"/>
      <c r="AQ164" s="171"/>
      <c r="AR164" s="171"/>
      <c r="AS164" s="171"/>
    </row>
    <row r="165" spans="2:45" ht="12.75" customHeight="1" thickBot="1">
      <c r="B165" s="487" t="str">
        <f>Texte!A292</f>
        <v>[-] Grundfutter übrige Tiere</v>
      </c>
      <c r="C165" s="488"/>
      <c r="D165" s="488"/>
      <c r="E165" s="489"/>
      <c r="F165" s="415"/>
      <c r="G165" s="416"/>
      <c r="H165" s="286">
        <f>$L$79*-1</f>
        <v>0</v>
      </c>
      <c r="I165" s="416"/>
      <c r="J165" s="286"/>
      <c r="K165" s="413"/>
      <c r="L165" s="287"/>
      <c r="M165" s="416"/>
      <c r="V165" s="394" t="s">
        <v>1095</v>
      </c>
      <c r="W165" s="483" t="str">
        <f>IF(AND($U$11=1,$I$166+$K$166&gt;=$W$157,$I$166&gt;=$W$154),"ok","nein")</f>
        <v>nein</v>
      </c>
      <c r="X165" s="483" t="str">
        <f>IF(AND($U$11=2,$I$166+$K$166&gt;=$X$157,$I$166&gt;=$X$154),"ok","nein")</f>
        <v>nein</v>
      </c>
      <c r="Y165" s="394"/>
      <c r="Z165" s="394"/>
      <c r="AA165" s="195"/>
      <c r="AB165" s="195"/>
      <c r="AC165" s="196"/>
      <c r="AD165" s="196"/>
      <c r="AE165" s="200"/>
      <c r="AF165" s="165"/>
      <c r="AG165" s="448" t="str">
        <f>Texte!$A333</f>
        <v>Grundfutter</v>
      </c>
      <c r="AH165" s="517"/>
      <c r="AI165" s="508">
        <f>IF($U$11=1,$W$157,IF($U$11="","",$X$157))</f>
      </c>
      <c r="AJ165" s="454"/>
      <c r="AK165" s="171"/>
      <c r="AL165" s="171"/>
      <c r="AM165" s="171"/>
      <c r="AN165" s="171"/>
      <c r="AO165" s="171"/>
      <c r="AP165" s="171"/>
      <c r="AQ165" s="171"/>
      <c r="AR165" s="171"/>
      <c r="AS165" s="171"/>
    </row>
    <row r="166" spans="2:45" ht="12.75" customHeight="1" thickBot="1">
      <c r="B166" s="417" t="str">
        <f>Texte!A293</f>
        <v>Bilanz                                      </v>
      </c>
      <c r="C166" s="418"/>
      <c r="D166" s="418"/>
      <c r="E166" s="419"/>
      <c r="F166" s="491">
        <f>SUM($F$158:$F$165)</f>
        <v>0</v>
      </c>
      <c r="G166" s="492">
        <v>100</v>
      </c>
      <c r="H166" s="493">
        <f>SUM($H$161:$H$165)</f>
        <v>0</v>
      </c>
      <c r="I166" s="420">
        <f>IF($F$166=0,"",ROUND($H$166/$F$166*100,1))</f>
      </c>
      <c r="J166" s="494">
        <f>SUM($J$161:$J$165)</f>
        <v>0</v>
      </c>
      <c r="K166" s="420">
        <f>IF(OR($J$166&lt;0,$F$166=0),"",ROUND($J$166/$F$166*100,1))</f>
      </c>
      <c r="L166" s="493">
        <f>SUM($L$161:$L$165)</f>
        <v>0</v>
      </c>
      <c r="M166" s="421">
        <f>IF($F$166=0,"",ROUND($L$166/$F$166*100,1))</f>
      </c>
      <c r="V166" s="394" t="s">
        <v>16</v>
      </c>
      <c r="W166" s="483" t="str">
        <f>IF(AND($U$11=1,$M$166&lt;=$W$156),"ok","nein")</f>
        <v>nein</v>
      </c>
      <c r="X166" s="483" t="str">
        <f>IF(AND($U$11=2,$M$166&lt;=$X$156),"ok","nein")</f>
        <v>nein</v>
      </c>
      <c r="Y166" s="394"/>
      <c r="Z166" s="394"/>
      <c r="AA166" s="195"/>
      <c r="AB166" s="422"/>
      <c r="AC166" s="651"/>
      <c r="AD166" s="652"/>
      <c r="AE166" s="652"/>
      <c r="AF166" s="652"/>
      <c r="AG166" s="241" t="str">
        <f>Texte!$A300</f>
        <v>total</v>
      </c>
      <c r="AH166" s="242"/>
      <c r="AI166" s="523"/>
      <c r="AJ166" s="518"/>
      <c r="AK166" s="171"/>
      <c r="AL166" s="171"/>
      <c r="AM166" s="171"/>
      <c r="AN166" s="171"/>
      <c r="AO166" s="171"/>
      <c r="AP166" s="171"/>
      <c r="AQ166" s="171"/>
      <c r="AR166" s="171"/>
      <c r="AS166" s="171"/>
    </row>
    <row r="167" spans="2:45" ht="12.75" customHeight="1">
      <c r="B167" s="425" t="str">
        <f>Texte!A294</f>
        <v>Erforderliche Anteile an der Ration</v>
      </c>
      <c r="C167" s="426"/>
      <c r="D167" s="426"/>
      <c r="E167" s="427"/>
      <c r="F167" s="206"/>
      <c r="G167" s="428"/>
      <c r="H167" s="203" t="s">
        <v>729</v>
      </c>
      <c r="I167" s="490">
        <f>IF($U$11=1,$W$154,IF($U$11=2,$X$154,""))</f>
      </c>
      <c r="J167" s="206"/>
      <c r="K167" s="168"/>
      <c r="L167" s="338" t="s">
        <v>730</v>
      </c>
      <c r="M167" s="490">
        <f>$W$156</f>
        <v>10</v>
      </c>
      <c r="V167" s="394" t="s">
        <v>605</v>
      </c>
      <c r="W167" s="483" t="str">
        <f>IF(AND($W$164="ok",$W$165="ok",$W$166="ok"),"io","n. io")</f>
        <v>n. io</v>
      </c>
      <c r="X167" s="483" t="str">
        <f>IF(AND($X$164="ok",$X$165="ok",$X$166="ok"),"io","n. io")</f>
        <v>n. io</v>
      </c>
      <c r="Y167" s="394"/>
      <c r="Z167" s="394"/>
      <c r="AA167" s="195"/>
      <c r="AB167" s="422"/>
      <c r="AC167" s="423"/>
      <c r="AD167" s="424"/>
      <c r="AE167" s="424"/>
      <c r="AF167" s="424"/>
      <c r="AG167" s="397"/>
      <c r="AH167" s="397"/>
      <c r="AI167" s="45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</row>
    <row r="168" spans="2:45" ht="12.75" customHeight="1" thickBot="1">
      <c r="B168" s="429"/>
      <c r="C168" s="206"/>
      <c r="D168" s="206"/>
      <c r="E168" s="206"/>
      <c r="F168" s="586">
        <f>IF(OR(H166&lt;0,J166&lt;0,L166&lt;0),Texte!A304,"")</f>
      </c>
      <c r="G168" s="484"/>
      <c r="H168" s="206"/>
      <c r="I168" s="430"/>
      <c r="J168" s="188"/>
      <c r="L168" s="309"/>
      <c r="M168" s="445" t="str">
        <f>IF($U$11="",Texte!A332,"")</f>
        <v>Keine Gebietszuteilung</v>
      </c>
      <c r="Y168" s="394"/>
      <c r="Z168" s="394"/>
      <c r="AA168" s="195"/>
      <c r="AB168" s="422"/>
      <c r="AC168" s="423"/>
      <c r="AD168" s="424"/>
      <c r="AE168" s="424"/>
      <c r="AF168" s="424"/>
      <c r="AG168" s="168"/>
      <c r="AH168" s="397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</row>
    <row r="169" spans="1:45" ht="7.5" customHeight="1">
      <c r="A169" s="432"/>
      <c r="B169" s="433"/>
      <c r="C169" s="434"/>
      <c r="D169" s="434"/>
      <c r="E169" s="434"/>
      <c r="F169" s="436"/>
      <c r="G169" s="434"/>
      <c r="H169" s="436"/>
      <c r="I169" s="435"/>
      <c r="J169" s="436"/>
      <c r="K169" s="435"/>
      <c r="L169" s="435"/>
      <c r="M169" s="438"/>
      <c r="N169" s="339"/>
      <c r="V169" s="394"/>
      <c r="W169" s="276"/>
      <c r="X169" s="194"/>
      <c r="Y169" s="394"/>
      <c r="Z169" s="394"/>
      <c r="AA169" s="195"/>
      <c r="AB169" s="422"/>
      <c r="AC169" s="423"/>
      <c r="AD169" s="424"/>
      <c r="AE169" s="424"/>
      <c r="AF169" s="424"/>
      <c r="AG169" s="397"/>
      <c r="AH169" s="397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</row>
    <row r="170" spans="1:45" ht="12.75" customHeight="1">
      <c r="A170" s="432"/>
      <c r="B170" s="495" t="str">
        <f>Texte!A305</f>
        <v>Erfüllung der erforderlichen Anteile an der Ration</v>
      </c>
      <c r="C170" s="428"/>
      <c r="D170" s="428"/>
      <c r="E170" s="168"/>
      <c r="F170" s="168"/>
      <c r="G170" s="428"/>
      <c r="H170" s="206"/>
      <c r="I170" s="147"/>
      <c r="J170" s="147"/>
      <c r="K170" s="147"/>
      <c r="L170" s="206"/>
      <c r="M170" s="496" t="str">
        <f>IF($U$11=1,IF($W$167="n. io",Texte!$A$308,Texte!$A$307),IF($X$167="n. io",Texte!$A$308,Texte!$A$307))</f>
        <v>nein</v>
      </c>
      <c r="V170" s="276"/>
      <c r="W170" s="485"/>
      <c r="X170" s="194"/>
      <c r="Y170" s="394"/>
      <c r="Z170" s="394"/>
      <c r="AA170" s="195"/>
      <c r="AB170" s="422"/>
      <c r="AC170" s="423"/>
      <c r="AD170" s="424"/>
      <c r="AE170" s="424"/>
      <c r="AF170" s="424"/>
      <c r="AG170" s="397"/>
      <c r="AH170" s="397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</row>
    <row r="171" spans="1:45" ht="7.5" customHeight="1" thickBot="1">
      <c r="A171" s="432"/>
      <c r="B171" s="497"/>
      <c r="C171" s="498"/>
      <c r="D171" s="498"/>
      <c r="E171" s="175"/>
      <c r="F171" s="175"/>
      <c r="G171" s="498"/>
      <c r="H171" s="499"/>
      <c r="I171" s="500"/>
      <c r="J171" s="500"/>
      <c r="K171" s="500"/>
      <c r="L171" s="499"/>
      <c r="M171" s="439"/>
      <c r="V171" s="276"/>
      <c r="W171" s="485"/>
      <c r="X171" s="194"/>
      <c r="Y171" s="394"/>
      <c r="Z171" s="394"/>
      <c r="AA171" s="195"/>
      <c r="AB171" s="422"/>
      <c r="AC171" s="423"/>
      <c r="AD171" s="424"/>
      <c r="AE171" s="424"/>
      <c r="AF171" s="424"/>
      <c r="AG171" s="397"/>
      <c r="AH171" s="397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</row>
    <row r="172" spans="1:45" ht="12.75" customHeight="1">
      <c r="A172" s="432"/>
      <c r="B172" s="434"/>
      <c r="C172" s="434"/>
      <c r="D172" s="434"/>
      <c r="E172" s="435"/>
      <c r="F172" s="435"/>
      <c r="G172" s="434"/>
      <c r="H172" s="436"/>
      <c r="I172" s="437"/>
      <c r="J172" s="437"/>
      <c r="K172" s="437"/>
      <c r="L172" s="436"/>
      <c r="M172" s="501"/>
      <c r="V172" s="276"/>
      <c r="W172" s="486"/>
      <c r="X172" s="194"/>
      <c r="Y172" s="394"/>
      <c r="Z172" s="394"/>
      <c r="AA172" s="195"/>
      <c r="AB172" s="422"/>
      <c r="AC172" s="423"/>
      <c r="AD172" s="424"/>
      <c r="AE172" s="424"/>
      <c r="AF172" s="424"/>
      <c r="AG172" s="397"/>
      <c r="AH172" s="397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</row>
    <row r="173" spans="1:45" ht="12.75" customHeight="1">
      <c r="A173" s="432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V173" s="194" t="s">
        <v>1098</v>
      </c>
      <c r="W173" s="483">
        <f>IF(M170=Texte!A307,1,2)</f>
        <v>2</v>
      </c>
      <c r="X173" s="194" t="s">
        <v>608</v>
      </c>
      <c r="Y173" s="394"/>
      <c r="Z173" s="394"/>
      <c r="AA173" s="195"/>
      <c r="AB173" s="395"/>
      <c r="AC173" s="196"/>
      <c r="AD173" s="196"/>
      <c r="AE173" s="200"/>
      <c r="AF173" s="165"/>
      <c r="AG173" s="397"/>
      <c r="AH173" s="397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</row>
    <row r="174" spans="1:45" ht="12.75" customHeight="1">
      <c r="A174" s="209"/>
      <c r="V174" s="194"/>
      <c r="W174" s="483">
        <f>IF(M201=Texte!A307,1,2)</f>
        <v>2</v>
      </c>
      <c r="X174" s="194" t="s">
        <v>609</v>
      </c>
      <c r="Y174" s="394"/>
      <c r="Z174" s="394"/>
      <c r="AA174" s="195"/>
      <c r="AB174" s="395"/>
      <c r="AC174" s="196"/>
      <c r="AD174" s="196"/>
      <c r="AE174" s="200"/>
      <c r="AF174" s="165"/>
      <c r="AG174" s="397"/>
      <c r="AH174" s="397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</row>
    <row r="175" spans="2:47" ht="12.75" customHeight="1">
      <c r="B175" s="440" t="str">
        <f>Texte!A311</f>
        <v>Ort und Datum:</v>
      </c>
      <c r="C175" s="67"/>
      <c r="D175" s="68"/>
      <c r="E175" s="68"/>
      <c r="F175" s="68"/>
      <c r="G175" s="68"/>
      <c r="I175" s="344" t="str">
        <f>Texte!A312</f>
        <v>Unterschrift:</v>
      </c>
      <c r="J175" s="67"/>
      <c r="K175" s="68"/>
      <c r="L175" s="68"/>
      <c r="M175" s="68"/>
      <c r="V175" s="194"/>
      <c r="W175" s="194"/>
      <c r="X175" s="194"/>
      <c r="Y175" s="194"/>
      <c r="Z175" s="194"/>
      <c r="AA175" s="194"/>
      <c r="AB175" s="422"/>
      <c r="AI175" s="397"/>
      <c r="AJ175" s="397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</row>
    <row r="176" spans="27:47" ht="12.75" customHeight="1">
      <c r="AA176" s="162"/>
      <c r="AB176" s="441"/>
      <c r="AI176" s="397"/>
      <c r="AJ176" s="397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</row>
    <row r="177" spans="2:47" ht="11.25" customHeight="1">
      <c r="B177" s="442" t="str">
        <f>Texte!A310</f>
        <v>Dieses Instrument dient als Nachweis für die Erfüllung der Anforderungen an die Futterbilanz für das Programm der GMF.</v>
      </c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</row>
    <row r="178" spans="27:47" ht="11.25" customHeight="1">
      <c r="AA178" s="162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</row>
    <row r="179" spans="2:47" ht="12.75">
      <c r="B179" s="463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</row>
    <row r="180" spans="37:47" ht="12.75"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</row>
    <row r="181" spans="2:47" ht="15.75">
      <c r="B181" s="544" t="str">
        <f>Texte!A336</f>
        <v>Informationsteil</v>
      </c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</row>
    <row r="182" spans="2:47" ht="7.5" customHeight="1">
      <c r="B182" s="544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</row>
    <row r="183" spans="2:47" ht="12.75" customHeight="1">
      <c r="B183" s="545" t="str">
        <f>Texte!A337</f>
        <v>Die Berechnung des massgebenden Tierbesatzes für die Futterbilanz 2015 basiert auf dem effektiven </v>
      </c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</row>
    <row r="184" spans="2:47" ht="12.75" customHeight="1">
      <c r="B184" s="545" t="str">
        <f>Texte!A338</f>
        <v>Tierbestand in der Periode vom 1.1.2015 - 31.12.2015. Weil dieser zur Zeit noch nicht bekannt ist, </v>
      </c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</row>
    <row r="185" spans="2:47" ht="12.75" customHeight="1">
      <c r="B185" s="545" t="str">
        <f>Texte!A339</f>
        <v>ist die Höhe der Beiträge nur eine Schätzung.</v>
      </c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</row>
    <row r="186" spans="2:47" ht="12.75" customHeight="1">
      <c r="B186" s="544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</row>
    <row r="187" spans="2:47" ht="12.75" customHeight="1">
      <c r="B187" s="616" t="str">
        <f>Texte!A220</f>
        <v>Angaben für Mindesttierbesatz</v>
      </c>
      <c r="C187" s="330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</row>
    <row r="188" spans="2:47" ht="12.75" customHeight="1">
      <c r="B188" s="616"/>
      <c r="C188" s="619" t="str">
        <f>Texte!A222</f>
        <v>Dauergrünland</v>
      </c>
      <c r="D188" s="546"/>
      <c r="E188" s="546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</row>
    <row r="189" spans="2:47" ht="12.75" customHeight="1">
      <c r="B189" s="616"/>
      <c r="C189" s="619" t="str">
        <f>Texte!A223</f>
        <v>Kunstwiesen</v>
      </c>
      <c r="E189" s="620" t="str">
        <f>Texte!A224</f>
        <v>BFF</v>
      </c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</row>
    <row r="190" spans="2:47" ht="12.75" customHeight="1">
      <c r="B190" s="544"/>
      <c r="C190" s="621" t="s">
        <v>931</v>
      </c>
      <c r="E190" s="620" t="s">
        <v>931</v>
      </c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</row>
    <row r="191" spans="2:47" ht="12.75" customHeight="1">
      <c r="B191" s="617" t="str">
        <f>Texte!A225</f>
        <v>Talzone</v>
      </c>
      <c r="C191" s="611"/>
      <c r="D191" s="622"/>
      <c r="E191" s="614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</row>
    <row r="192" spans="2:47" ht="12.75" customHeight="1">
      <c r="B192" s="617" t="str">
        <f>Texte!A226</f>
        <v>Hügelzone</v>
      </c>
      <c r="C192" s="612"/>
      <c r="D192" s="622"/>
      <c r="E192" s="83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</row>
    <row r="193" spans="2:47" ht="12.75" customHeight="1">
      <c r="B193" s="617" t="str">
        <f>Texte!A227</f>
        <v>Bergzone 1</v>
      </c>
      <c r="C193" s="612"/>
      <c r="D193" s="622"/>
      <c r="E193" s="83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</row>
    <row r="194" spans="2:47" ht="12.75" customHeight="1">
      <c r="B194" s="617" t="str">
        <f>Texte!A228</f>
        <v>Bergzone 2</v>
      </c>
      <c r="C194" s="612"/>
      <c r="D194" s="622"/>
      <c r="E194" s="83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</row>
    <row r="195" spans="2:47" ht="12.75" customHeight="1">
      <c r="B195" s="617" t="str">
        <f>Texte!A229</f>
        <v>Bergzone 3</v>
      </c>
      <c r="C195" s="612"/>
      <c r="D195" s="622"/>
      <c r="E195" s="83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</row>
    <row r="196" spans="2:47" ht="12.75" customHeight="1">
      <c r="B196" s="617" t="str">
        <f>Texte!A230</f>
        <v>Bergzone 4</v>
      </c>
      <c r="C196" s="612"/>
      <c r="D196" s="622"/>
      <c r="E196" s="83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</row>
    <row r="197" spans="2:47" ht="12.75">
      <c r="B197" s="617" t="str">
        <f>Texte!A231</f>
        <v>Flächen im Ausland</v>
      </c>
      <c r="C197" s="613"/>
      <c r="D197" s="623"/>
      <c r="E197" s="615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</row>
    <row r="198" spans="2:47" ht="12.75">
      <c r="B198" s="618" t="s">
        <v>102</v>
      </c>
      <c r="C198" s="512">
        <f>SUM(C191:E197)</f>
        <v>0</v>
      </c>
      <c r="D198" s="624"/>
      <c r="E198" s="513"/>
      <c r="L198" s="432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</row>
    <row r="199" spans="2:47" ht="7.5" customHeight="1">
      <c r="B199" s="545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</row>
    <row r="200" spans="2:47" ht="7.5" customHeight="1">
      <c r="B200" s="545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</row>
    <row r="201" spans="2:47" ht="12.75">
      <c r="B201" s="545" t="str">
        <f>Texte!A306</f>
        <v>Erforderlicher Mindesttierbesatz (RGVE/ha Grünfläche) für 100 % der GMF-Beiträge</v>
      </c>
      <c r="M201" s="539">
        <f>$AD$164</f>
      </c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</row>
    <row r="202" spans="2:47" ht="12.75">
      <c r="B202" s="547" t="str">
        <f>Texte!A340</f>
        <v>RGVE effektiv auf dem Betrieb</v>
      </c>
      <c r="D202" s="585"/>
      <c r="E202" s="535"/>
      <c r="L202" s="548" t="str">
        <f>Texte!A341</f>
        <v>Effektiver Mindesttierbesatz (RGVE/ha Grünfläche)</v>
      </c>
      <c r="M202" s="539">
        <f>IF($J$107="","",IF($E$202&lt;=0,"",$E$202/$J$107))</f>
      </c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</row>
    <row r="203" spans="2:47" ht="12.75">
      <c r="B203" s="546"/>
      <c r="L203" s="549"/>
      <c r="M203" s="338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</row>
    <row r="204" spans="2:47" ht="12.75">
      <c r="B204" s="547" t="str">
        <f>Texte!A342</f>
        <v>Erfüllung des Anteils … an der Ration</v>
      </c>
      <c r="L204" s="548" t="str">
        <f>Texte!A346</f>
        <v>Erfüllung des Mindesttierbesatzes für</v>
      </c>
      <c r="M204" s="538">
        <f>IF(AND($W$167="n. io",$X$167="n. io",$M$201=""),"",MIN($M$202/$M$201*100,100))</f>
      </c>
      <c r="N204" s="547" t="str">
        <f>Texte!A347</f>
        <v>% der GMF-Beiträge</v>
      </c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</row>
    <row r="205" spans="2:47" ht="12.75">
      <c r="B205" s="546" t="str">
        <f>Texte!A343</f>
        <v>  - Wiesen- und Weidefutter</v>
      </c>
      <c r="E205" s="532">
        <f>IF($U$11="","",IF(AND($U$11=1,$W$164="nein"),Texte!A$352,IF(AND($U$11=2,$X$164="nein"),Texte!A$352,Texte!A$353)))</f>
      </c>
      <c r="L205" s="548" t="str">
        <f>Texte!A348</f>
        <v>das entspricht etwa </v>
      </c>
      <c r="M205" s="550">
        <f>IF(OR($W$167="io",$X$167="io"),$M$204/100*200*$J$107,"")</f>
      </c>
      <c r="N205" s="547" t="s">
        <v>755</v>
      </c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</row>
    <row r="206" spans="2:47" ht="12.75">
      <c r="B206" s="546" t="str">
        <f>Texte!A344</f>
        <v>  - übriges Grundfutter</v>
      </c>
      <c r="E206" s="533">
        <f>IF($U$11="","",IF(AND($U$11=1,$W$165="nein"),Texte!A$352,IF(AND($U$11=2,$X$165="nein"),Texte!A$352,Texte!A$353)))</f>
      </c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</row>
    <row r="207" spans="2:47" ht="12.75">
      <c r="B207" s="546" t="str">
        <f>Texte!A345</f>
        <v>  - Kraftfutter</v>
      </c>
      <c r="E207" s="534">
        <f>IF($U$11="","",IF(AND($U$11=1,$W$166="nein"),Texte!A$352,IF(AND($U$11=2,$X$166="nein"),Texte!A$352,Texte!A$353)))</f>
      </c>
      <c r="L207" s="548" t="str">
        <f>IF(AND($W$167="n. io",$X$167="n. io"),Texte!A356,IF($E$202&lt;=0,Texte!A354,Texte!A349))</f>
        <v>Sie erhalten KEINE Beiträge</v>
      </c>
      <c r="M207" s="537">
        <f>IF(OR(AND($W$167="n. io",$X$167="n. io"),$E$202&lt;=0),"",IF(ROUND($M$204,0)=100,Texte!A351,Texte!A350))</f>
      </c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</row>
    <row r="208" spans="12:47" ht="12.75">
      <c r="L208" s="540">
        <f>IF(AND(OR($W$167="io",$X$167="io"),$E$202&lt;=0),Texte!A355,"")</f>
      </c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</row>
    <row r="209" spans="37:47" ht="12.75"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</row>
    <row r="210" spans="37:47" ht="12.75"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</row>
    <row r="211" spans="37:47" ht="12.75"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</row>
    <row r="212" spans="37:47" ht="12.75"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</row>
    <row r="213" spans="37:47" ht="12.75"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</row>
    <row r="214" spans="37:47" ht="12.75"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</row>
    <row r="215" spans="37:47" ht="12.75"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</row>
    <row r="216" spans="37:47" ht="12.75"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</row>
    <row r="217" spans="37:47" ht="12.75"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</row>
    <row r="218" spans="37:47" ht="12.75"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</row>
    <row r="219" spans="37:47" ht="12.75"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</row>
    <row r="220" spans="37:47" ht="12.75"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</row>
    <row r="221" spans="37:47" ht="12.75"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</row>
    <row r="222" spans="37:47" ht="12.75"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</row>
    <row r="223" spans="37:47" ht="12.75"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</row>
    <row r="224" spans="37:47" ht="12.75"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</row>
    <row r="225" spans="2:47" ht="12.75">
      <c r="B225" s="165"/>
      <c r="C225" s="165"/>
      <c r="D225" s="165"/>
      <c r="E225" s="165"/>
      <c r="F225" s="165"/>
      <c r="G225" s="165"/>
      <c r="H225" s="165"/>
      <c r="I225" s="165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</row>
    <row r="226" spans="2:47" ht="12.75">
      <c r="B226" s="165"/>
      <c r="C226" s="165"/>
      <c r="D226" s="165"/>
      <c r="E226" s="165"/>
      <c r="F226" s="165"/>
      <c r="G226" s="165"/>
      <c r="H226" s="165"/>
      <c r="I226" s="165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</row>
    <row r="227" spans="1:47" ht="12.75">
      <c r="A227" s="165" t="s">
        <v>113</v>
      </c>
      <c r="B227" s="165"/>
      <c r="C227" s="165"/>
      <c r="D227" s="165"/>
      <c r="E227" s="165"/>
      <c r="F227" s="165"/>
      <c r="G227" s="165"/>
      <c r="H227" s="165"/>
      <c r="I227" s="165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</row>
    <row r="228" spans="1:47" ht="12.75">
      <c r="A228" s="165" t="s">
        <v>114</v>
      </c>
      <c r="B228" s="165"/>
      <c r="C228" s="165"/>
      <c r="D228" s="165"/>
      <c r="E228" s="165"/>
      <c r="F228" s="165"/>
      <c r="G228" s="165"/>
      <c r="H228" s="165"/>
      <c r="I228" s="165"/>
      <c r="AK228" s="171"/>
      <c r="AL228" s="171"/>
      <c r="AM228" s="171"/>
      <c r="AN228" s="171"/>
      <c r="AO228" s="171"/>
      <c r="AP228" s="171"/>
      <c r="AQ228" s="171"/>
      <c r="AR228" s="171"/>
      <c r="AS228" s="171"/>
      <c r="AT228" s="171"/>
      <c r="AU228" s="171"/>
    </row>
    <row r="229" spans="1:47" ht="12.75">
      <c r="A229" s="165"/>
      <c r="B229" s="165"/>
      <c r="C229" s="165"/>
      <c r="D229" s="165"/>
      <c r="E229" s="165"/>
      <c r="F229" s="165"/>
      <c r="G229" s="165"/>
      <c r="H229" s="165"/>
      <c r="I229" s="165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</row>
    <row r="230" spans="1:47" ht="12.75">
      <c r="A230" s="165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</row>
    <row r="231" spans="1:47" ht="12.75">
      <c r="A231" s="165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</row>
    <row r="233" ht="12.75">
      <c r="A233" s="200"/>
    </row>
    <row r="234" ht="12.75">
      <c r="A234" s="200"/>
    </row>
    <row r="235" ht="12.75">
      <c r="A235" s="200"/>
    </row>
    <row r="236" ht="12.75">
      <c r="A236" s="200"/>
    </row>
    <row r="237" ht="12.75">
      <c r="A237" s="200"/>
    </row>
    <row r="238" ht="12.75">
      <c r="A238" s="200"/>
    </row>
    <row r="239" ht="12.75">
      <c r="A239" s="200"/>
    </row>
    <row r="240" ht="12.75">
      <c r="A240" s="200"/>
    </row>
    <row r="241" ht="12.75">
      <c r="A241" s="200"/>
    </row>
    <row r="242" ht="12.75">
      <c r="A242" s="200"/>
    </row>
    <row r="243" ht="12.75">
      <c r="A243" s="200"/>
    </row>
    <row r="244" ht="12.75">
      <c r="A244" s="200"/>
    </row>
    <row r="245" ht="12.75">
      <c r="A245" s="200"/>
    </row>
    <row r="246" spans="1:4" ht="12.75">
      <c r="A246" s="200"/>
      <c r="B246" s="200"/>
      <c r="C246" s="200"/>
      <c r="D246" s="200"/>
    </row>
    <row r="247" spans="1:4" ht="12.75">
      <c r="A247" s="200"/>
      <c r="B247" s="200"/>
      <c r="C247" s="200"/>
      <c r="D247" s="200"/>
    </row>
    <row r="248" spans="1:9" ht="12.75">
      <c r="A248" s="200"/>
      <c r="B248" s="200"/>
      <c r="C248" s="200"/>
      <c r="D248" s="200"/>
      <c r="E248" s="165"/>
      <c r="F248" s="165"/>
      <c r="G248" s="165"/>
      <c r="H248" s="165"/>
      <c r="I248" s="165"/>
    </row>
    <row r="249" spans="1:9" ht="12.75">
      <c r="A249" s="200"/>
      <c r="B249" s="200"/>
      <c r="C249" s="200"/>
      <c r="D249" s="200"/>
      <c r="E249" s="165"/>
      <c r="F249" s="140"/>
      <c r="G249" s="200"/>
      <c r="H249" s="165"/>
      <c r="I249" s="165"/>
    </row>
    <row r="250" spans="1:9" ht="12.75">
      <c r="A250" s="443"/>
      <c r="F250" s="140"/>
      <c r="H250" s="165"/>
      <c r="I250" s="165"/>
    </row>
    <row r="251" spans="1:9" ht="12.75">
      <c r="A251" s="444" t="str">
        <f>Texte!A122</f>
        <v>Milchkühe</v>
      </c>
      <c r="B251" s="310"/>
      <c r="F251" s="140"/>
      <c r="H251" s="165"/>
      <c r="I251" s="165"/>
    </row>
    <row r="252" spans="1:9" ht="12.75">
      <c r="A252" s="444" t="str">
        <f>Texte!A123</f>
        <v>andere Kühe</v>
      </c>
      <c r="B252" s="310"/>
      <c r="F252" s="140"/>
      <c r="H252" s="165"/>
      <c r="I252" s="165"/>
    </row>
    <row r="253" spans="1:9" ht="12.75">
      <c r="A253" s="444" t="str">
        <f>Texte!A124</f>
        <v>Mutterkühe schwer (&gt;= 600 kg)</v>
      </c>
      <c r="B253" s="310"/>
      <c r="F253" s="140"/>
      <c r="H253" s="165"/>
      <c r="I253" s="165"/>
    </row>
    <row r="254" spans="1:9" ht="12.75">
      <c r="A254" s="444" t="str">
        <f>Texte!A125</f>
        <v>Mutterkühe leicht (450 kg)</v>
      </c>
      <c r="B254" s="310"/>
      <c r="F254" s="140"/>
      <c r="H254" s="165"/>
      <c r="I254" s="165"/>
    </row>
    <row r="255" spans="1:9" ht="12.75">
      <c r="A255" s="444" t="str">
        <f>Texte!A126</f>
        <v>Ammenkühe 2 Kälber / Jahr, ohne Kälber</v>
      </c>
      <c r="B255" s="310"/>
      <c r="F255" s="140"/>
      <c r="H255" s="165"/>
      <c r="I255" s="165"/>
    </row>
    <row r="256" spans="1:9" ht="12.75">
      <c r="A256" s="444" t="str">
        <f>Texte!A127</f>
        <v>Jungvieh, 0 bis 1-jährig</v>
      </c>
      <c r="B256" s="310"/>
      <c r="F256" s="140"/>
      <c r="H256" s="165"/>
      <c r="I256" s="165"/>
    </row>
    <row r="257" spans="1:9" ht="12.75">
      <c r="A257" s="444" t="str">
        <f>Texte!A128</f>
        <v>Jungvieh, 1 bis 2-jährig</v>
      </c>
      <c r="B257" s="310"/>
      <c r="F257" s="140"/>
      <c r="H257" s="165"/>
      <c r="I257" s="165"/>
    </row>
    <row r="258" spans="1:9" ht="12.75">
      <c r="A258" s="444" t="str">
        <f>Texte!A129</f>
        <v>Rinder &gt;2-jährig</v>
      </c>
      <c r="B258" s="310"/>
      <c r="F258" s="140"/>
      <c r="H258" s="165"/>
      <c r="I258" s="165"/>
    </row>
    <row r="259" spans="1:9" ht="12.75">
      <c r="A259" s="444" t="str">
        <f>Texte!A130</f>
        <v>Mastkälber (50-200 kg)</v>
      </c>
      <c r="B259" s="310"/>
      <c r="F259" s="140"/>
      <c r="H259" s="165"/>
      <c r="I259" s="165"/>
    </row>
    <row r="260" spans="1:9" ht="12.75">
      <c r="A260" s="444" t="str">
        <f>Texte!A131</f>
        <v>Mutterkuhkälber leicht, ca 350 kg</v>
      </c>
      <c r="B260" s="310"/>
      <c r="F260" s="140"/>
      <c r="H260" s="165"/>
      <c r="I260" s="165"/>
    </row>
    <row r="261" spans="1:9" ht="12.75">
      <c r="A261" s="444" t="str">
        <f>Texte!A132</f>
        <v>Mutterkuhkälber schwer, ca 400 kg</v>
      </c>
      <c r="B261" s="310"/>
      <c r="F261" s="140"/>
      <c r="H261" s="165"/>
      <c r="I261" s="165"/>
    </row>
    <row r="262" spans="1:9" ht="12.75">
      <c r="A262" s="444"/>
      <c r="B262" s="310"/>
      <c r="F262" s="140"/>
      <c r="H262" s="165"/>
      <c r="I262" s="165"/>
    </row>
    <row r="263" spans="1:9" ht="12.75">
      <c r="A263" s="444" t="str">
        <f>Texte!A133</f>
        <v>Rindviehmast intensiv, 65-520 kg</v>
      </c>
      <c r="B263" s="310"/>
      <c r="F263" s="140"/>
      <c r="H263" s="165"/>
      <c r="I263" s="165"/>
    </row>
    <row r="264" spans="1:9" ht="12.75">
      <c r="A264" s="444" t="str">
        <f>Texte!A134</f>
        <v>Rindviehmast Tränker &lt; 4 Mte.</v>
      </c>
      <c r="B264" s="310"/>
      <c r="F264" s="140"/>
      <c r="H264" s="165"/>
      <c r="I264" s="165"/>
    </row>
    <row r="265" spans="1:9" ht="12.75">
      <c r="A265" s="444" t="str">
        <f>Texte!A135</f>
        <v>Rindviehmast intensiv &gt; 4 Monate</v>
      </c>
      <c r="B265" s="310"/>
      <c r="F265" s="140"/>
      <c r="H265" s="165"/>
      <c r="I265" s="165"/>
    </row>
    <row r="266" spans="1:9" ht="12.75">
      <c r="A266" s="444" t="str">
        <f>Texte!A136</f>
        <v>Rindviehmast Weidemast &gt; 4 Monate</v>
      </c>
      <c r="B266" s="310"/>
      <c r="F266" s="140"/>
      <c r="I266" s="165"/>
    </row>
    <row r="267" spans="1:9" ht="12.75">
      <c r="A267" s="444" t="str">
        <f>Texte!A137</f>
        <v>Rindviehmast, intensive Ausmast</v>
      </c>
      <c r="B267" s="310"/>
      <c r="F267" s="140"/>
      <c r="I267" s="165"/>
    </row>
    <row r="268" spans="1:9" ht="12.75">
      <c r="A268" s="310"/>
      <c r="B268" s="310"/>
      <c r="F268" s="140"/>
      <c r="I268" s="165"/>
    </row>
    <row r="269" spans="1:9" ht="12.75">
      <c r="A269" s="310"/>
      <c r="B269" s="310"/>
      <c r="F269" s="140"/>
      <c r="H269" s="165"/>
      <c r="I269" s="165"/>
    </row>
    <row r="270" spans="1:9" ht="12.75">
      <c r="A270" s="444" t="str">
        <f>Texte!A142</f>
        <v>Stute inkl. Fohlen, Hafer als KF (max. 700 kg)</v>
      </c>
      <c r="B270" s="310"/>
      <c r="F270" s="140"/>
      <c r="H270" s="165"/>
      <c r="I270" s="165"/>
    </row>
    <row r="271" spans="1:9" ht="12.75">
      <c r="A271" s="444" t="str">
        <f>Texte!A141</f>
        <v>Zuchtstute inkl. Fohlen</v>
      </c>
      <c r="B271" s="310"/>
      <c r="F271" s="140"/>
      <c r="H271" s="165"/>
      <c r="I271" s="165"/>
    </row>
    <row r="272" spans="1:9" ht="12.75">
      <c r="A272" s="444" t="str">
        <f>Texte!A143</f>
        <v>Pferde über 3-jährig</v>
      </c>
      <c r="B272" s="310"/>
      <c r="F272" s="140"/>
      <c r="H272" s="165"/>
      <c r="I272" s="165"/>
    </row>
    <row r="273" spans="1:9" ht="12.75">
      <c r="A273" s="444" t="str">
        <f>Texte!A144</f>
        <v>Fohlen 0.5 bis 3-jährig</v>
      </c>
      <c r="B273" s="310"/>
      <c r="F273" s="140"/>
      <c r="H273" s="165"/>
      <c r="I273" s="165"/>
    </row>
    <row r="274" spans="1:9" ht="12.75">
      <c r="A274" s="444" t="str">
        <f>Texte!A145</f>
        <v>Maultiere, Maulesel jeden Alters</v>
      </c>
      <c r="B274" s="310"/>
      <c r="F274" s="140"/>
      <c r="H274" s="165"/>
      <c r="I274" s="165"/>
    </row>
    <row r="275" spans="1:9" ht="12.75">
      <c r="A275" s="444" t="str">
        <f>Texte!A146</f>
        <v>Ponys, Kleinpferde und Esel</v>
      </c>
      <c r="B275" s="310"/>
      <c r="F275" s="140"/>
      <c r="H275" s="165"/>
      <c r="I275" s="165"/>
    </row>
    <row r="276" spans="1:9" ht="12.75">
      <c r="A276" s="444" t="str">
        <f>Texte!A148</f>
        <v>Schafplatz (inkl. Jungtiere und Anteil Bock)</v>
      </c>
      <c r="B276" s="310"/>
      <c r="F276" s="140"/>
      <c r="H276" s="165"/>
      <c r="I276" s="165"/>
    </row>
    <row r="277" spans="1:9" ht="12.75">
      <c r="A277" s="444" t="str">
        <f>Texte!A150</f>
        <v>Weidemastlamm, -gitzi</v>
      </c>
      <c r="B277" s="310"/>
      <c r="F277" s="140"/>
      <c r="H277" s="165"/>
      <c r="I277" s="165"/>
    </row>
    <row r="278" spans="1:9" ht="12.75">
      <c r="A278" s="444" t="str">
        <f>Texte!A151</f>
        <v>Damhirsche inkl. Jungtiere, 1 Einheit=2 Tiere</v>
      </c>
      <c r="B278" s="310"/>
      <c r="F278" s="140"/>
      <c r="H278" s="165"/>
      <c r="I278" s="165"/>
    </row>
    <row r="279" spans="1:9" ht="12.75">
      <c r="A279" s="444" t="str">
        <f>Texte!A152</f>
        <v>Rothirsche inkl. Jungtiere, 1 Einheit=2 Tiere</v>
      </c>
      <c r="B279" s="310"/>
      <c r="F279" s="140"/>
      <c r="H279" s="165"/>
      <c r="I279" s="165"/>
    </row>
    <row r="280" spans="1:9" ht="12.75">
      <c r="A280" s="444" t="str">
        <f>Texte!A153</f>
        <v>Wapiti inkl. Jungtiere, 1 Einheit=2 Tiere</v>
      </c>
      <c r="B280" s="310"/>
      <c r="F280" s="140"/>
      <c r="H280" s="165"/>
      <c r="I280" s="165"/>
    </row>
    <row r="281" spans="1:9" ht="12.75">
      <c r="A281" s="444" t="str">
        <f>Texte!A154</f>
        <v>Bisons über 3-jährig</v>
      </c>
      <c r="B281" s="310"/>
      <c r="F281" s="140"/>
      <c r="H281" s="165"/>
      <c r="I281" s="165"/>
    </row>
    <row r="282" spans="1:9" ht="12.75">
      <c r="A282" s="444" t="str">
        <f>Texte!A155</f>
        <v>Bisons bis 3-jährig (Zucht u. Mast)</v>
      </c>
      <c r="B282" s="310"/>
      <c r="F282" s="140"/>
      <c r="H282" s="165"/>
      <c r="I282" s="165"/>
    </row>
    <row r="283" spans="1:9" ht="12.75">
      <c r="A283" s="444" t="str">
        <f>Texte!A156</f>
        <v>Lamas über 2-jährig</v>
      </c>
      <c r="B283" s="310"/>
      <c r="F283" s="140"/>
      <c r="H283" s="165"/>
      <c r="I283" s="165"/>
    </row>
    <row r="284" spans="1:9" ht="12.75">
      <c r="A284" s="444" t="str">
        <f>Texte!A157</f>
        <v>Lamas unter 2-jährig</v>
      </c>
      <c r="B284" s="310"/>
      <c r="F284" s="140"/>
      <c r="H284" s="165"/>
      <c r="I284" s="165"/>
    </row>
    <row r="285" spans="1:9" ht="12.75">
      <c r="A285" s="444" t="str">
        <f>Texte!A158</f>
        <v>Alpakas über 2-jährig</v>
      </c>
      <c r="B285" s="310"/>
      <c r="F285" s="140"/>
      <c r="H285" s="165"/>
      <c r="I285" s="165"/>
    </row>
    <row r="286" spans="1:9" ht="12.75">
      <c r="A286" s="444" t="str">
        <f>Texte!A159</f>
        <v>Alpakas unter 2-jährig</v>
      </c>
      <c r="B286" s="310"/>
      <c r="F286" s="140"/>
      <c r="H286" s="165"/>
      <c r="I286" s="165"/>
    </row>
    <row r="287" spans="2:9" ht="12.75">
      <c r="B287" s="310"/>
      <c r="F287" s="140"/>
      <c r="H287" s="165"/>
      <c r="I287" s="165"/>
    </row>
    <row r="288" spans="2:9" ht="12.75">
      <c r="B288" s="310"/>
      <c r="F288" s="140"/>
      <c r="H288" s="165"/>
      <c r="I288" s="165"/>
    </row>
    <row r="289" spans="1:9" ht="12.75">
      <c r="A289" s="444"/>
      <c r="B289" s="310"/>
      <c r="F289" s="140"/>
      <c r="H289" s="165"/>
      <c r="I289" s="165"/>
    </row>
    <row r="290" spans="1:9" ht="12.75">
      <c r="A290" s="444"/>
      <c r="B290" s="310"/>
      <c r="F290" s="140"/>
      <c r="H290" s="165"/>
      <c r="I290" s="165"/>
    </row>
    <row r="291" spans="1:9" ht="12.75">
      <c r="A291" s="444"/>
      <c r="B291" s="310"/>
      <c r="F291" s="140"/>
      <c r="H291" s="165"/>
      <c r="I291" s="165"/>
    </row>
    <row r="292" spans="1:9" ht="12.75">
      <c r="A292" s="444"/>
      <c r="B292" s="310"/>
      <c r="F292" s="140"/>
      <c r="H292" s="165"/>
      <c r="I292" s="165"/>
    </row>
    <row r="293" spans="1:9" ht="12.75">
      <c r="A293" s="444"/>
      <c r="B293" s="310"/>
      <c r="F293" s="140"/>
      <c r="H293" s="165"/>
      <c r="I293" s="165"/>
    </row>
    <row r="294" spans="1:9" ht="12.75">
      <c r="A294" s="444"/>
      <c r="B294" s="310"/>
      <c r="F294" s="140"/>
      <c r="H294" s="165"/>
      <c r="I294" s="165"/>
    </row>
    <row r="295" spans="1:9" ht="12.75">
      <c r="A295" s="444"/>
      <c r="B295" s="310"/>
      <c r="F295" s="140"/>
      <c r="H295" s="165"/>
      <c r="I295" s="165"/>
    </row>
    <row r="296" spans="1:9" ht="12.75">
      <c r="A296" s="444" t="str">
        <f>Texte!A168</f>
        <v>Galtsauenplatz</v>
      </c>
      <c r="B296" s="310"/>
      <c r="F296" s="140"/>
      <c r="H296" s="165"/>
      <c r="I296" s="165"/>
    </row>
    <row r="297" spans="1:9" ht="12.75">
      <c r="A297" s="444" t="str">
        <f>Texte!A169</f>
        <v>Galtsauen, pro Umtrieb</v>
      </c>
      <c r="B297" s="310"/>
      <c r="F297" s="140"/>
      <c r="H297" s="165"/>
      <c r="I297" s="165"/>
    </row>
    <row r="298" spans="1:9" ht="12.75">
      <c r="A298" s="444" t="str">
        <f>Texte!A170</f>
        <v>Zuchtschweine, säugend</v>
      </c>
      <c r="B298" s="310"/>
      <c r="F298" s="140"/>
      <c r="H298" s="165"/>
      <c r="I298" s="165"/>
    </row>
    <row r="299" spans="1:9" ht="12.75">
      <c r="A299" s="444" t="str">
        <f>Texte!A171</f>
        <v>Zuchtschweine, säugend, pro Umtrieb</v>
      </c>
      <c r="B299" s="310"/>
      <c r="F299" s="140"/>
      <c r="H299" s="165"/>
      <c r="I299" s="165"/>
    </row>
    <row r="300" spans="1:9" ht="12.75">
      <c r="A300" s="444" t="str">
        <f>Texte!A172</f>
        <v>Zuchteber</v>
      </c>
      <c r="B300" s="310"/>
      <c r="F300" s="140"/>
      <c r="H300" s="165"/>
      <c r="I300" s="165"/>
    </row>
    <row r="301" spans="1:9" ht="12.75">
      <c r="A301" s="444"/>
      <c r="B301" s="310"/>
      <c r="F301" s="140"/>
      <c r="H301" s="165"/>
      <c r="I301" s="165"/>
    </row>
    <row r="302" spans="1:9" ht="12.75">
      <c r="A302" s="140"/>
      <c r="F302" s="140"/>
      <c r="H302" s="165"/>
      <c r="I302" s="165"/>
    </row>
    <row r="303" spans="1:9" ht="12.75">
      <c r="A303" s="140"/>
      <c r="F303" s="140"/>
      <c r="H303" s="165"/>
      <c r="I303" s="165"/>
    </row>
    <row r="304" spans="6:9" ht="12.75">
      <c r="F304" s="140"/>
      <c r="H304" s="165"/>
      <c r="I304" s="165"/>
    </row>
    <row r="305" spans="1:9" ht="12.75">
      <c r="A305" s="140"/>
      <c r="F305" s="140"/>
      <c r="H305" s="165"/>
      <c r="I305" s="165"/>
    </row>
    <row r="306" spans="1:9" ht="12.75">
      <c r="A306" s="140"/>
      <c r="F306" s="140"/>
      <c r="H306" s="165"/>
      <c r="I306" s="165"/>
    </row>
    <row r="307" spans="1:9" ht="12.75">
      <c r="A307" s="140"/>
      <c r="F307" s="140"/>
      <c r="H307" s="165"/>
      <c r="I307" s="165"/>
    </row>
    <row r="308" spans="1:9" ht="12.75">
      <c r="A308" s="140"/>
      <c r="G308" s="165"/>
      <c r="H308" s="165"/>
      <c r="I308" s="165"/>
    </row>
    <row r="309" spans="1:9" ht="12.75">
      <c r="A309" s="140"/>
      <c r="G309" s="165"/>
      <c r="H309" s="165"/>
      <c r="I309" s="165"/>
    </row>
    <row r="310" spans="1:9" ht="12.75">
      <c r="A310" s="140"/>
      <c r="G310" s="165"/>
      <c r="H310" s="165"/>
      <c r="I310" s="165"/>
    </row>
    <row r="311" spans="1:9" ht="12.75">
      <c r="A311" s="140"/>
      <c r="G311" s="165"/>
      <c r="H311" s="165"/>
      <c r="I311" s="165"/>
    </row>
    <row r="312" spans="1:9" ht="12.75">
      <c r="A312" s="140"/>
      <c r="G312" s="165"/>
      <c r="H312" s="165"/>
      <c r="I312" s="165"/>
    </row>
    <row r="313" spans="1:9" ht="12.75">
      <c r="A313" s="140"/>
      <c r="G313" s="165"/>
      <c r="H313" s="165"/>
      <c r="I313" s="165"/>
    </row>
    <row r="314" spans="1:9" ht="12.75">
      <c r="A314" s="140"/>
      <c r="G314" s="165"/>
      <c r="H314" s="165"/>
      <c r="I314" s="165"/>
    </row>
    <row r="315" spans="1:9" ht="12.75">
      <c r="A315" s="140"/>
      <c r="G315" s="165"/>
      <c r="H315" s="165"/>
      <c r="I315" s="165"/>
    </row>
    <row r="316" spans="1:9" ht="12.75">
      <c r="A316" s="140"/>
      <c r="G316" s="165"/>
      <c r="H316" s="165"/>
      <c r="I316" s="165"/>
    </row>
    <row r="317" spans="1:9" ht="12.75">
      <c r="A317" s="140"/>
      <c r="G317" s="165"/>
      <c r="H317" s="165"/>
      <c r="I317" s="165"/>
    </row>
    <row r="318" spans="1:9" ht="12.75">
      <c r="A318" s="140"/>
      <c r="G318" s="165"/>
      <c r="H318" s="165"/>
      <c r="I318" s="165"/>
    </row>
    <row r="319" spans="1:9" ht="12.75">
      <c r="A319" s="140"/>
      <c r="G319" s="165"/>
      <c r="H319" s="165"/>
      <c r="I319" s="165"/>
    </row>
    <row r="320" spans="1:9" ht="12.75">
      <c r="A320" s="140"/>
      <c r="G320" s="165"/>
      <c r="H320" s="165"/>
      <c r="I320" s="165"/>
    </row>
    <row r="321" spans="1:9" ht="12.75">
      <c r="A321" s="140"/>
      <c r="G321" s="165"/>
      <c r="H321" s="165"/>
      <c r="I321" s="165"/>
    </row>
    <row r="322" spans="1:9" ht="12.75">
      <c r="A322" s="140"/>
      <c r="G322" s="165"/>
      <c r="H322" s="165"/>
      <c r="I322" s="165"/>
    </row>
    <row r="323" spans="1:9" ht="12.75">
      <c r="A323" s="140"/>
      <c r="G323" s="165"/>
      <c r="H323" s="165"/>
      <c r="I323" s="165"/>
    </row>
    <row r="324" spans="1:9" ht="12.75">
      <c r="A324" s="140"/>
      <c r="G324" s="165"/>
      <c r="H324" s="165"/>
      <c r="I324" s="165"/>
    </row>
    <row r="325" spans="1:9" ht="12.75">
      <c r="A325" s="140"/>
      <c r="G325" s="165"/>
      <c r="H325" s="165"/>
      <c r="I325" s="165"/>
    </row>
    <row r="326" spans="1:9" ht="12.75">
      <c r="A326" s="140"/>
      <c r="G326" s="165"/>
      <c r="H326" s="165"/>
      <c r="I326" s="165"/>
    </row>
    <row r="327" spans="1:9" ht="12.75">
      <c r="A327" s="140"/>
      <c r="G327" s="165"/>
      <c r="H327" s="165"/>
      <c r="I327" s="165"/>
    </row>
    <row r="328" spans="1:9" ht="12.75">
      <c r="A328" s="140"/>
      <c r="G328" s="165"/>
      <c r="H328" s="165"/>
      <c r="I328" s="165"/>
    </row>
    <row r="329" spans="1:9" ht="12.75">
      <c r="A329" s="140"/>
      <c r="G329" s="165"/>
      <c r="H329" s="165"/>
      <c r="I329" s="165"/>
    </row>
    <row r="330" spans="1:9" ht="12.75">
      <c r="A330" s="140"/>
      <c r="G330" s="165"/>
      <c r="H330" s="165"/>
      <c r="I330" s="165"/>
    </row>
    <row r="331" spans="1:9" ht="12.75">
      <c r="A331" s="140"/>
      <c r="G331" s="165"/>
      <c r="H331" s="165"/>
      <c r="I331" s="165"/>
    </row>
    <row r="332" spans="1:9" ht="12.75">
      <c r="A332" s="140"/>
      <c r="G332" s="165"/>
      <c r="H332" s="165"/>
      <c r="I332" s="165"/>
    </row>
    <row r="333" spans="1:9" ht="12.75">
      <c r="A333" s="140"/>
      <c r="G333" s="165"/>
      <c r="H333" s="165"/>
      <c r="I333" s="165"/>
    </row>
    <row r="334" spans="1:9" ht="12.75">
      <c r="A334" s="140"/>
      <c r="B334" s="165"/>
      <c r="C334" s="165"/>
      <c r="D334" s="165"/>
      <c r="E334" s="165"/>
      <c r="F334" s="165"/>
      <c r="G334" s="165"/>
      <c r="H334" s="165"/>
      <c r="I334" s="165"/>
    </row>
    <row r="335" spans="1:9" ht="12.75">
      <c r="A335" s="140"/>
      <c r="B335" s="165"/>
      <c r="C335" s="165"/>
      <c r="D335" s="165"/>
      <c r="E335" s="165"/>
      <c r="F335" s="165"/>
      <c r="G335" s="165"/>
      <c r="H335" s="165"/>
      <c r="I335" s="165"/>
    </row>
    <row r="336" spans="1:9" ht="12.75">
      <c r="A336" s="140"/>
      <c r="B336" s="165"/>
      <c r="C336" s="165"/>
      <c r="D336" s="165"/>
      <c r="E336" s="165"/>
      <c r="F336" s="165"/>
      <c r="G336" s="165"/>
      <c r="H336" s="165"/>
      <c r="I336" s="165"/>
    </row>
    <row r="337" spans="1:9" ht="12.75">
      <c r="A337" s="140"/>
      <c r="B337" s="165"/>
      <c r="C337" s="165"/>
      <c r="D337" s="165"/>
      <c r="E337" s="165"/>
      <c r="F337" s="165"/>
      <c r="G337" s="165"/>
      <c r="H337" s="165"/>
      <c r="I337" s="165"/>
    </row>
    <row r="338" spans="1:9" ht="12.75">
      <c r="A338" s="140"/>
      <c r="B338" s="165"/>
      <c r="C338" s="165"/>
      <c r="D338" s="165"/>
      <c r="E338" s="165"/>
      <c r="F338" s="165"/>
      <c r="G338" s="165"/>
      <c r="H338" s="165"/>
      <c r="I338" s="165"/>
    </row>
    <row r="339" spans="1:9" ht="12.75">
      <c r="A339" s="140"/>
      <c r="B339" s="165"/>
      <c r="C339" s="165"/>
      <c r="D339" s="165"/>
      <c r="E339" s="165"/>
      <c r="F339" s="165"/>
      <c r="G339" s="165"/>
      <c r="H339" s="165"/>
      <c r="I339" s="165"/>
    </row>
    <row r="340" spans="1:9" ht="12.75">
      <c r="A340" s="140"/>
      <c r="B340" s="165"/>
      <c r="C340" s="165"/>
      <c r="D340" s="165"/>
      <c r="E340" s="165"/>
      <c r="F340" s="165"/>
      <c r="G340" s="165"/>
      <c r="H340" s="165"/>
      <c r="I340" s="165"/>
    </row>
    <row r="341" spans="1:9" ht="12.75">
      <c r="A341" s="140"/>
      <c r="B341" s="165"/>
      <c r="C341" s="165"/>
      <c r="D341" s="165"/>
      <c r="E341" s="165"/>
      <c r="F341" s="165"/>
      <c r="G341" s="165"/>
      <c r="H341" s="165"/>
      <c r="I341" s="165"/>
    </row>
    <row r="342" spans="1:9" ht="12.75">
      <c r="A342" s="140"/>
      <c r="B342" s="165"/>
      <c r="C342" s="165"/>
      <c r="D342" s="165"/>
      <c r="E342" s="165"/>
      <c r="F342" s="165"/>
      <c r="G342" s="165"/>
      <c r="H342" s="165"/>
      <c r="I342" s="165"/>
    </row>
    <row r="343" spans="1:9" ht="12.75">
      <c r="A343" s="140"/>
      <c r="B343" s="165"/>
      <c r="C343" s="165"/>
      <c r="D343" s="165"/>
      <c r="E343" s="165"/>
      <c r="F343" s="165"/>
      <c r="G343" s="165"/>
      <c r="H343" s="165"/>
      <c r="I343" s="165"/>
    </row>
    <row r="344" spans="1:9" ht="12.75">
      <c r="A344" s="140"/>
      <c r="B344" s="165"/>
      <c r="C344" s="165"/>
      <c r="D344" s="165"/>
      <c r="E344" s="165"/>
      <c r="F344" s="165"/>
      <c r="G344" s="165"/>
      <c r="H344" s="165"/>
      <c r="I344" s="165"/>
    </row>
    <row r="345" spans="1:9" ht="12.75">
      <c r="A345" s="140"/>
      <c r="B345" s="165"/>
      <c r="C345" s="165"/>
      <c r="D345" s="165"/>
      <c r="E345" s="165"/>
      <c r="F345" s="165"/>
      <c r="G345" s="165"/>
      <c r="H345" s="165"/>
      <c r="I345" s="165"/>
    </row>
    <row r="346" spans="1:9" ht="12.75">
      <c r="A346" s="140"/>
      <c r="B346" s="165"/>
      <c r="C346" s="165"/>
      <c r="D346" s="165"/>
      <c r="E346" s="165"/>
      <c r="F346" s="165"/>
      <c r="G346" s="165"/>
      <c r="H346" s="165"/>
      <c r="I346" s="165"/>
    </row>
    <row r="347" spans="1:9" ht="12.75">
      <c r="A347" s="140"/>
      <c r="B347" s="165"/>
      <c r="C347" s="165"/>
      <c r="D347" s="165"/>
      <c r="E347" s="165"/>
      <c r="F347" s="165"/>
      <c r="G347" s="165"/>
      <c r="H347" s="165"/>
      <c r="I347" s="165"/>
    </row>
    <row r="348" spans="1:9" ht="12.75">
      <c r="A348" s="140"/>
      <c r="B348" s="165"/>
      <c r="C348" s="165"/>
      <c r="D348" s="165"/>
      <c r="E348" s="165"/>
      <c r="F348" s="165"/>
      <c r="G348" s="165"/>
      <c r="H348" s="165"/>
      <c r="I348" s="165"/>
    </row>
    <row r="349" spans="1:9" ht="12.75">
      <c r="A349" s="140"/>
      <c r="B349" s="165"/>
      <c r="C349" s="165"/>
      <c r="D349" s="165"/>
      <c r="E349" s="165"/>
      <c r="F349" s="165"/>
      <c r="G349" s="165"/>
      <c r="H349" s="165"/>
      <c r="I349" s="165"/>
    </row>
    <row r="350" spans="1:9" ht="12.75">
      <c r="A350" s="140"/>
      <c r="B350" s="165"/>
      <c r="C350" s="165"/>
      <c r="D350" s="165"/>
      <c r="E350" s="165"/>
      <c r="F350" s="165"/>
      <c r="G350" s="165"/>
      <c r="H350" s="165"/>
      <c r="I350" s="165"/>
    </row>
    <row r="351" spans="1:9" ht="12.75">
      <c r="A351" s="140"/>
      <c r="B351" s="165"/>
      <c r="C351" s="165"/>
      <c r="D351" s="165"/>
      <c r="E351" s="165"/>
      <c r="F351" s="165"/>
      <c r="G351" s="165"/>
      <c r="H351" s="165"/>
      <c r="I351" s="165"/>
    </row>
    <row r="352" spans="1:9" ht="12.75">
      <c r="A352" s="140"/>
      <c r="B352" s="165"/>
      <c r="C352" s="165"/>
      <c r="D352" s="165"/>
      <c r="E352" s="165"/>
      <c r="F352" s="165"/>
      <c r="G352" s="165"/>
      <c r="H352" s="165"/>
      <c r="I352" s="165"/>
    </row>
    <row r="353" spans="1:9" ht="12.75">
      <c r="A353" s="140"/>
      <c r="B353" s="165"/>
      <c r="C353" s="165"/>
      <c r="D353" s="165"/>
      <c r="E353" s="165"/>
      <c r="F353" s="165"/>
      <c r="G353" s="165"/>
      <c r="H353" s="165"/>
      <c r="I353" s="165"/>
    </row>
    <row r="354" spans="1:9" ht="12.75">
      <c r="A354" s="140"/>
      <c r="B354" s="165"/>
      <c r="C354" s="165"/>
      <c r="D354" s="165"/>
      <c r="E354" s="165"/>
      <c r="F354" s="165"/>
      <c r="G354" s="165"/>
      <c r="H354" s="165"/>
      <c r="I354" s="165"/>
    </row>
    <row r="355" spans="1:9" ht="12.75">
      <c r="A355" s="140"/>
      <c r="B355" s="165"/>
      <c r="C355" s="165"/>
      <c r="D355" s="165"/>
      <c r="E355" s="165"/>
      <c r="F355" s="165"/>
      <c r="G355" s="165"/>
      <c r="H355" s="165"/>
      <c r="I355" s="165"/>
    </row>
    <row r="356" spans="1:9" ht="12.75" customHeight="1">
      <c r="A356" s="468"/>
      <c r="D356" s="165"/>
      <c r="E356" s="165"/>
      <c r="F356" s="165"/>
      <c r="G356" s="165"/>
      <c r="H356" s="165"/>
      <c r="I356" s="165"/>
    </row>
    <row r="357" spans="4:9" ht="12.75">
      <c r="D357" s="165"/>
      <c r="E357" s="165"/>
      <c r="F357" s="165"/>
      <c r="G357" s="165"/>
      <c r="H357" s="165"/>
      <c r="I357" s="165"/>
    </row>
    <row r="358" spans="1:9" ht="12.75">
      <c r="A358" s="165"/>
      <c r="B358" s="165"/>
      <c r="C358" s="165"/>
      <c r="D358" s="165"/>
      <c r="E358" s="165"/>
      <c r="F358" s="165"/>
      <c r="G358" s="165"/>
      <c r="H358" s="165"/>
      <c r="I358" s="165"/>
    </row>
    <row r="359" spans="1:9" ht="12.75">
      <c r="A359" s="165"/>
      <c r="B359" s="165"/>
      <c r="C359" s="165"/>
      <c r="D359" s="165"/>
      <c r="E359" s="165"/>
      <c r="F359" s="165"/>
      <c r="G359" s="165"/>
      <c r="H359" s="165"/>
      <c r="I359" s="165"/>
    </row>
    <row r="360" spans="1:9" ht="12.75">
      <c r="A360" s="165"/>
      <c r="B360" s="165"/>
      <c r="C360" s="165"/>
      <c r="D360" s="165"/>
      <c r="E360" s="165"/>
      <c r="F360" s="165"/>
      <c r="G360" s="165"/>
      <c r="H360" s="165"/>
      <c r="I360" s="165"/>
    </row>
    <row r="361" spans="1:9" ht="12.75">
      <c r="A361" s="165"/>
      <c r="B361" s="165"/>
      <c r="C361" s="165"/>
      <c r="D361" s="165"/>
      <c r="E361" s="165"/>
      <c r="F361" s="165"/>
      <c r="G361" s="165"/>
      <c r="H361" s="165"/>
      <c r="I361" s="165"/>
    </row>
    <row r="362" spans="1:9" ht="12.75">
      <c r="A362" s="165"/>
      <c r="B362" s="165"/>
      <c r="C362" s="165"/>
      <c r="D362" s="165"/>
      <c r="E362" s="165"/>
      <c r="F362" s="165"/>
      <c r="G362" s="165"/>
      <c r="H362" s="165"/>
      <c r="I362" s="165"/>
    </row>
    <row r="363" spans="1:9" ht="12.75">
      <c r="A363" s="165"/>
      <c r="B363" s="165"/>
      <c r="C363" s="165"/>
      <c r="D363" s="165"/>
      <c r="E363" s="165"/>
      <c r="F363" s="165"/>
      <c r="G363" s="165"/>
      <c r="H363" s="165"/>
      <c r="I363" s="165"/>
    </row>
    <row r="364" spans="1:9" ht="12.75">
      <c r="A364" s="165"/>
      <c r="B364" s="165"/>
      <c r="C364" s="165"/>
      <c r="D364" s="165"/>
      <c r="E364" s="165"/>
      <c r="F364" s="165"/>
      <c r="G364" s="165"/>
      <c r="H364" s="165"/>
      <c r="I364" s="165"/>
    </row>
    <row r="365" spans="1:9" ht="12.75">
      <c r="A365" s="165"/>
      <c r="B365" s="165"/>
      <c r="C365" s="165"/>
      <c r="D365" s="165"/>
      <c r="E365" s="165"/>
      <c r="F365" s="165"/>
      <c r="G365" s="165"/>
      <c r="H365" s="165"/>
      <c r="I365" s="165"/>
    </row>
    <row r="366" spans="1:9" ht="12.75">
      <c r="A366" s="165"/>
      <c r="B366" s="165"/>
      <c r="C366" s="165"/>
      <c r="D366" s="165"/>
      <c r="E366" s="165"/>
      <c r="F366" s="165"/>
      <c r="G366" s="165"/>
      <c r="H366" s="165"/>
      <c r="I366" s="165"/>
    </row>
    <row r="367" spans="1:9" ht="12.75">
      <c r="A367" s="165"/>
      <c r="B367" s="165"/>
      <c r="C367" s="165"/>
      <c r="D367" s="165"/>
      <c r="E367" s="165"/>
      <c r="F367" s="165"/>
      <c r="G367" s="165"/>
      <c r="H367" s="165"/>
      <c r="I367" s="165"/>
    </row>
    <row r="368" spans="1:9" ht="12.75">
      <c r="A368" s="165"/>
      <c r="B368" s="165"/>
      <c r="C368" s="165"/>
      <c r="D368" s="165"/>
      <c r="E368" s="165"/>
      <c r="F368" s="165"/>
      <c r="G368" s="165"/>
      <c r="H368" s="165"/>
      <c r="I368" s="165"/>
    </row>
    <row r="369" spans="1:9" ht="12.75">
      <c r="A369" s="165"/>
      <c r="B369" s="165"/>
      <c r="C369" s="165"/>
      <c r="D369" s="165"/>
      <c r="E369" s="165"/>
      <c r="F369" s="165"/>
      <c r="G369" s="165"/>
      <c r="H369" s="165"/>
      <c r="I369" s="165"/>
    </row>
    <row r="370" spans="1:9" ht="12.75">
      <c r="A370" s="165"/>
      <c r="B370" s="165"/>
      <c r="C370" s="165"/>
      <c r="D370" s="165"/>
      <c r="E370" s="165"/>
      <c r="F370" s="165"/>
      <c r="G370" s="165"/>
      <c r="H370" s="165"/>
      <c r="I370" s="165"/>
    </row>
    <row r="371" spans="1:9" ht="12.75">
      <c r="A371" s="165"/>
      <c r="B371" s="165"/>
      <c r="C371" s="165"/>
      <c r="D371" s="165"/>
      <c r="E371" s="165"/>
      <c r="F371" s="165"/>
      <c r="G371" s="165"/>
      <c r="H371" s="165"/>
      <c r="I371" s="165"/>
    </row>
    <row r="372" spans="1:9" ht="12.75">
      <c r="A372" s="165"/>
      <c r="B372" s="165"/>
      <c r="C372" s="165"/>
      <c r="D372" s="165"/>
      <c r="E372" s="165"/>
      <c r="F372" s="165"/>
      <c r="G372" s="165"/>
      <c r="H372" s="165"/>
      <c r="I372" s="165"/>
    </row>
    <row r="373" spans="1:9" ht="12.75">
      <c r="A373" s="165"/>
      <c r="B373" s="165"/>
      <c r="C373" s="165"/>
      <c r="D373" s="165"/>
      <c r="E373" s="165"/>
      <c r="F373" s="165"/>
      <c r="G373" s="165"/>
      <c r="H373" s="165"/>
      <c r="I373" s="165"/>
    </row>
    <row r="374" spans="1:9" ht="12.75">
      <c r="A374" s="165"/>
      <c r="B374" s="165"/>
      <c r="C374" s="165"/>
      <c r="D374" s="165"/>
      <c r="E374" s="165"/>
      <c r="F374" s="165"/>
      <c r="G374" s="165"/>
      <c r="H374" s="165"/>
      <c r="I374" s="165"/>
    </row>
    <row r="375" spans="1:9" ht="12.75">
      <c r="A375" s="165"/>
      <c r="B375" s="165"/>
      <c r="C375" s="165"/>
      <c r="D375" s="165"/>
      <c r="E375" s="165"/>
      <c r="F375" s="165"/>
      <c r="G375" s="165"/>
      <c r="H375" s="165"/>
      <c r="I375" s="165"/>
    </row>
    <row r="376" spans="1:9" ht="12.75">
      <c r="A376" s="165"/>
      <c r="B376" s="165"/>
      <c r="C376" s="165"/>
      <c r="D376" s="165"/>
      <c r="E376" s="165"/>
      <c r="F376" s="165"/>
      <c r="G376" s="165"/>
      <c r="H376" s="165"/>
      <c r="I376" s="165"/>
    </row>
    <row r="377" spans="1:9" ht="12.75">
      <c r="A377" s="165"/>
      <c r="B377" s="165"/>
      <c r="C377" s="165"/>
      <c r="D377" s="165"/>
      <c r="E377" s="165"/>
      <c r="F377" s="165"/>
      <c r="G377" s="165"/>
      <c r="H377" s="165"/>
      <c r="I377" s="165"/>
    </row>
    <row r="378" spans="1:9" ht="12.75">
      <c r="A378" s="165"/>
      <c r="B378" s="165"/>
      <c r="C378" s="165"/>
      <c r="D378" s="165"/>
      <c r="E378" s="165"/>
      <c r="F378" s="165"/>
      <c r="G378" s="165"/>
      <c r="H378" s="165"/>
      <c r="I378" s="165"/>
    </row>
    <row r="379" spans="1:9" ht="12.75">
      <c r="A379" s="165"/>
      <c r="B379" s="165"/>
      <c r="C379" s="165"/>
      <c r="D379" s="165"/>
      <c r="E379" s="165"/>
      <c r="F379" s="165"/>
      <c r="G379" s="165"/>
      <c r="H379" s="165"/>
      <c r="I379" s="165"/>
    </row>
    <row r="380" spans="1:9" ht="12.75">
      <c r="A380" s="165"/>
      <c r="B380" s="165"/>
      <c r="C380" s="165"/>
      <c r="D380" s="165"/>
      <c r="E380" s="165"/>
      <c r="F380" s="165"/>
      <c r="G380" s="165"/>
      <c r="H380" s="165"/>
      <c r="I380" s="165"/>
    </row>
    <row r="381" spans="1:9" ht="12.75">
      <c r="A381" s="165"/>
      <c r="B381" s="165"/>
      <c r="C381" s="165"/>
      <c r="D381" s="165"/>
      <c r="E381" s="165"/>
      <c r="F381" s="165"/>
      <c r="G381" s="165"/>
      <c r="H381" s="165"/>
      <c r="I381" s="165"/>
    </row>
    <row r="382" spans="1:9" ht="12.75">
      <c r="A382" s="165"/>
      <c r="B382" s="165"/>
      <c r="C382" s="165"/>
      <c r="D382" s="165"/>
      <c r="E382" s="165"/>
      <c r="F382" s="165"/>
      <c r="G382" s="165"/>
      <c r="H382" s="165"/>
      <c r="I382" s="165"/>
    </row>
    <row r="383" spans="1:9" ht="12.75">
      <c r="A383" s="165"/>
      <c r="B383" s="165"/>
      <c r="C383" s="165"/>
      <c r="D383" s="165"/>
      <c r="E383" s="165"/>
      <c r="F383" s="165"/>
      <c r="G383" s="165"/>
      <c r="H383" s="165"/>
      <c r="I383" s="165"/>
    </row>
    <row r="384" spans="1:9" ht="12.75">
      <c r="A384" s="165"/>
      <c r="B384" s="165"/>
      <c r="C384" s="165"/>
      <c r="D384" s="165"/>
      <c r="E384" s="165"/>
      <c r="F384" s="165"/>
      <c r="G384" s="165"/>
      <c r="H384" s="165"/>
      <c r="I384" s="165"/>
    </row>
    <row r="385" spans="1:9" ht="12.75">
      <c r="A385" s="165"/>
      <c r="B385" s="165"/>
      <c r="C385" s="165"/>
      <c r="D385" s="165"/>
      <c r="E385" s="165"/>
      <c r="F385" s="165"/>
      <c r="G385" s="165"/>
      <c r="H385" s="165"/>
      <c r="I385" s="165"/>
    </row>
    <row r="386" spans="1:9" ht="12.75">
      <c r="A386" s="165"/>
      <c r="B386" s="165"/>
      <c r="C386" s="165"/>
      <c r="D386" s="165"/>
      <c r="E386" s="165"/>
      <c r="F386" s="200"/>
      <c r="G386" s="200"/>
      <c r="H386" s="200"/>
      <c r="I386" s="165"/>
    </row>
    <row r="387" spans="1:9" ht="12.75">
      <c r="A387" s="165"/>
      <c r="B387" s="165"/>
      <c r="C387" s="165"/>
      <c r="D387" s="165"/>
      <c r="E387" s="165"/>
      <c r="F387" s="200"/>
      <c r="G387" s="200"/>
      <c r="H387" s="200"/>
      <c r="I387" s="165"/>
    </row>
    <row r="388" spans="1:9" ht="12.75">
      <c r="A388" s="165"/>
      <c r="B388" s="165"/>
      <c r="C388" s="165"/>
      <c r="D388" s="165"/>
      <c r="E388" s="165"/>
      <c r="F388" s="200"/>
      <c r="G388" s="200"/>
      <c r="H388" s="200"/>
      <c r="I388" s="165"/>
    </row>
    <row r="389" spans="1:9" ht="12.75">
      <c r="A389" s="165"/>
      <c r="B389" s="165"/>
      <c r="C389" s="165"/>
      <c r="D389" s="165"/>
      <c r="E389" s="165"/>
      <c r="F389" s="165"/>
      <c r="G389" s="165"/>
      <c r="H389" s="165"/>
      <c r="I389" s="165"/>
    </row>
    <row r="390" spans="1:9" ht="12.75">
      <c r="A390" s="165"/>
      <c r="B390" s="165"/>
      <c r="C390" s="165"/>
      <c r="D390" s="165"/>
      <c r="E390" s="165"/>
      <c r="F390" s="165"/>
      <c r="G390" s="165"/>
      <c r="H390" s="165"/>
      <c r="I390" s="165"/>
    </row>
    <row r="391" spans="1:9" ht="12.75">
      <c r="A391" s="165"/>
      <c r="B391" s="165"/>
      <c r="C391" s="165"/>
      <c r="D391" s="165"/>
      <c r="E391" s="165"/>
      <c r="F391" s="165"/>
      <c r="G391" s="165"/>
      <c r="H391" s="165"/>
      <c r="I391" s="165"/>
    </row>
    <row r="392" spans="1:9" ht="12.75">
      <c r="A392" s="165"/>
      <c r="B392" s="165"/>
      <c r="C392" s="165"/>
      <c r="D392" s="165"/>
      <c r="E392" s="165"/>
      <c r="F392" s="165"/>
      <c r="G392" s="165"/>
      <c r="H392" s="165"/>
      <c r="I392" s="165"/>
    </row>
    <row r="393" spans="1:9" ht="12.75">
      <c r="A393" s="165"/>
      <c r="B393" s="165"/>
      <c r="C393" s="165"/>
      <c r="D393" s="165"/>
      <c r="E393" s="165"/>
      <c r="F393" s="165"/>
      <c r="G393" s="165"/>
      <c r="H393" s="165"/>
      <c r="I393" s="165"/>
    </row>
    <row r="394" spans="1:9" ht="12.75">
      <c r="A394" s="165"/>
      <c r="B394" s="165"/>
      <c r="C394" s="165"/>
      <c r="D394" s="165"/>
      <c r="E394" s="165"/>
      <c r="F394" s="165"/>
      <c r="G394" s="165"/>
      <c r="H394" s="165"/>
      <c r="I394" s="165"/>
    </row>
    <row r="395" spans="1:9" ht="12.75">
      <c r="A395" s="165"/>
      <c r="B395" s="165"/>
      <c r="C395" s="165"/>
      <c r="D395" s="165"/>
      <c r="E395" s="165"/>
      <c r="F395" s="165"/>
      <c r="G395" s="165"/>
      <c r="H395" s="165"/>
      <c r="I395" s="165"/>
    </row>
    <row r="396" spans="1:9" ht="12.75">
      <c r="A396" s="165"/>
      <c r="B396" s="165"/>
      <c r="C396" s="165"/>
      <c r="D396" s="165"/>
      <c r="E396" s="165"/>
      <c r="F396" s="165"/>
      <c r="G396" s="165"/>
      <c r="H396" s="165"/>
      <c r="I396" s="165"/>
    </row>
    <row r="397" spans="1:9" ht="12.75">
      <c r="A397" s="165"/>
      <c r="B397" s="165"/>
      <c r="C397" s="165"/>
      <c r="D397" s="165"/>
      <c r="E397" s="165"/>
      <c r="F397" s="165"/>
      <c r="G397" s="165"/>
      <c r="H397" s="165"/>
      <c r="I397" s="165"/>
    </row>
    <row r="398" spans="1:9" ht="12.75">
      <c r="A398" s="165"/>
      <c r="B398" s="165"/>
      <c r="C398" s="165"/>
      <c r="D398" s="165"/>
      <c r="E398" s="165"/>
      <c r="F398" s="165"/>
      <c r="G398" s="165"/>
      <c r="H398" s="165"/>
      <c r="I398" s="165"/>
    </row>
    <row r="399" spans="1:9" ht="12.75">
      <c r="A399" s="165"/>
      <c r="B399" s="165"/>
      <c r="C399" s="165"/>
      <c r="D399" s="165"/>
      <c r="E399" s="165"/>
      <c r="F399" s="165"/>
      <c r="G399" s="165"/>
      <c r="H399" s="165"/>
      <c r="I399" s="165"/>
    </row>
    <row r="400" spans="1:9" ht="12.75">
      <c r="A400" s="165"/>
      <c r="B400" s="165"/>
      <c r="C400" s="165"/>
      <c r="D400" s="165"/>
      <c r="E400" s="165"/>
      <c r="F400" s="165"/>
      <c r="G400" s="165"/>
      <c r="H400" s="165"/>
      <c r="I400" s="165"/>
    </row>
    <row r="401" spans="1:9" ht="12.75">
      <c r="A401" s="165"/>
      <c r="B401" s="165"/>
      <c r="C401" s="165"/>
      <c r="D401" s="165"/>
      <c r="E401" s="165"/>
      <c r="F401" s="165"/>
      <c r="G401" s="165"/>
      <c r="H401" s="165"/>
      <c r="I401" s="165"/>
    </row>
    <row r="402" spans="1:9" ht="12.75">
      <c r="A402" s="165"/>
      <c r="B402" s="165"/>
      <c r="C402" s="165"/>
      <c r="D402" s="165"/>
      <c r="E402" s="165"/>
      <c r="F402" s="165"/>
      <c r="G402" s="165"/>
      <c r="H402" s="165"/>
      <c r="I402" s="165"/>
    </row>
    <row r="403" spans="1:9" ht="12.75">
      <c r="A403" s="165"/>
      <c r="B403" s="165"/>
      <c r="C403" s="165"/>
      <c r="D403" s="165"/>
      <c r="E403" s="165"/>
      <c r="F403" s="165"/>
      <c r="G403" s="165"/>
      <c r="H403" s="165"/>
      <c r="I403" s="165"/>
    </row>
    <row r="404" spans="1:9" ht="12.75">
      <c r="A404" s="165"/>
      <c r="B404" s="165"/>
      <c r="C404" s="165"/>
      <c r="D404" s="165"/>
      <c r="E404" s="165"/>
      <c r="F404" s="165"/>
      <c r="G404" s="165"/>
      <c r="H404" s="165"/>
      <c r="I404" s="165"/>
    </row>
    <row r="405" spans="1:9" ht="12.75">
      <c r="A405" s="165"/>
      <c r="B405" s="165"/>
      <c r="C405" s="165"/>
      <c r="D405" s="165"/>
      <c r="E405" s="165"/>
      <c r="F405" s="165"/>
      <c r="G405" s="165"/>
      <c r="H405" s="165"/>
      <c r="I405" s="165"/>
    </row>
    <row r="406" spans="1:9" ht="12.75">
      <c r="A406" s="165"/>
      <c r="B406" s="165"/>
      <c r="C406" s="165"/>
      <c r="D406" s="165"/>
      <c r="E406" s="165"/>
      <c r="F406" s="165"/>
      <c r="G406" s="165"/>
      <c r="H406" s="165"/>
      <c r="I406" s="165"/>
    </row>
    <row r="407" spans="1:3" ht="12.75">
      <c r="A407" s="165"/>
      <c r="B407" s="165"/>
      <c r="C407" s="165"/>
    </row>
    <row r="408" spans="1:3" ht="12.75">
      <c r="A408" s="165"/>
      <c r="B408" s="165"/>
      <c r="C408" s="165"/>
    </row>
    <row r="409" spans="1:3" ht="12.75">
      <c r="A409" s="165"/>
      <c r="B409" s="165"/>
      <c r="C409" s="165"/>
    </row>
    <row r="410" spans="1:3" ht="12.75">
      <c r="A410" s="165"/>
      <c r="B410" s="165"/>
      <c r="C410" s="165"/>
    </row>
    <row r="411" spans="1:3" ht="12.75">
      <c r="A411" s="165"/>
      <c r="B411" s="165"/>
      <c r="C411" s="165"/>
    </row>
    <row r="412" spans="1:3" ht="12.75">
      <c r="A412" s="165"/>
      <c r="B412" s="165"/>
      <c r="C412" s="165"/>
    </row>
    <row r="413" spans="1:3" ht="12.75">
      <c r="A413" s="165"/>
      <c r="B413" s="165"/>
      <c r="C413" s="165"/>
    </row>
    <row r="414" spans="1:3" ht="12.75">
      <c r="A414" s="165"/>
      <c r="B414" s="165"/>
      <c r="C414" s="165"/>
    </row>
    <row r="415" spans="1:3" ht="12.75">
      <c r="A415" s="165"/>
      <c r="B415" s="165"/>
      <c r="C415" s="165"/>
    </row>
    <row r="416" spans="1:3" ht="12.75">
      <c r="A416" s="165"/>
      <c r="B416" s="165"/>
      <c r="C416" s="165"/>
    </row>
    <row r="417" spans="1:3" ht="12.75">
      <c r="A417" s="165"/>
      <c r="B417" s="165"/>
      <c r="C417" s="165"/>
    </row>
    <row r="418" spans="1:3" ht="12.75">
      <c r="A418" s="165"/>
      <c r="B418" s="165"/>
      <c r="C418" s="165"/>
    </row>
    <row r="419" spans="1:3" ht="12.75">
      <c r="A419" s="165"/>
      <c r="B419" s="165"/>
      <c r="C419" s="165"/>
    </row>
    <row r="420" spans="1:3" ht="12.75">
      <c r="A420" s="165"/>
      <c r="B420" s="165"/>
      <c r="C420" s="165"/>
    </row>
    <row r="421" spans="1:3" ht="12.75">
      <c r="A421" s="165"/>
      <c r="B421" s="165"/>
      <c r="C421" s="165"/>
    </row>
    <row r="422" ht="12.75">
      <c r="A422" s="200"/>
    </row>
    <row r="423" ht="12.75">
      <c r="A423" s="200"/>
    </row>
  </sheetData>
  <sheetProtection password="98F7" sheet="1"/>
  <mergeCells count="27">
    <mergeCell ref="AL37:AO37"/>
    <mergeCell ref="AL42:AO42"/>
    <mergeCell ref="AC166:AF166"/>
    <mergeCell ref="AL46:AO46"/>
    <mergeCell ref="AL50:AO50"/>
    <mergeCell ref="AL54:AO54"/>
    <mergeCell ref="AL59:AO59"/>
    <mergeCell ref="AL63:AO63"/>
    <mergeCell ref="AL70:AO70"/>
    <mergeCell ref="AL74:AO74"/>
    <mergeCell ref="B59:E59"/>
    <mergeCell ref="B71:E71"/>
    <mergeCell ref="B72:E72"/>
    <mergeCell ref="B53:E53"/>
    <mergeCell ref="B54:E54"/>
    <mergeCell ref="B55:E55"/>
    <mergeCell ref="B56:E56"/>
    <mergeCell ref="N15:R15"/>
    <mergeCell ref="N16:R16"/>
    <mergeCell ref="C15:I15"/>
    <mergeCell ref="B73:E73"/>
    <mergeCell ref="B64:E64"/>
    <mergeCell ref="B60:E60"/>
    <mergeCell ref="B61:E61"/>
    <mergeCell ref="B62:E62"/>
    <mergeCell ref="B63:E63"/>
    <mergeCell ref="B57:E57"/>
  </mergeCells>
  <conditionalFormatting sqref="D202">
    <cfRule type="expression" priority="1" dxfId="2" stopIfTrue="1">
      <formula>L202=0</formula>
    </cfRule>
  </conditionalFormatting>
  <conditionalFormatting sqref="K97:K105">
    <cfRule type="cellIs" priority="2" dxfId="2" operator="greaterThan" stopIfTrue="1">
      <formula>$X97</formula>
    </cfRule>
  </conditionalFormatting>
  <conditionalFormatting sqref="J41">
    <cfRule type="expression" priority="3" dxfId="4" stopIfTrue="1">
      <formula>OR(AND($H$41&lt;0,$G$41&lt;ABS(H41)),I41&gt;365)</formula>
    </cfRule>
  </conditionalFormatting>
  <conditionalFormatting sqref="J66:J73 J59:J64 J42:J44 J46:J57">
    <cfRule type="expression" priority="4" dxfId="4" stopIfTrue="1">
      <formula>OR(AND($H42&lt;0,$G42&lt;ABS(H42)),I42&gt;365)</formula>
    </cfRule>
  </conditionalFormatting>
  <conditionalFormatting sqref="J45">
    <cfRule type="expression" priority="5" dxfId="4" stopIfTrue="1">
      <formula>I45&gt;365</formula>
    </cfRule>
  </conditionalFormatting>
  <conditionalFormatting sqref="K148">
    <cfRule type="expression" priority="6" dxfId="2" stopIfTrue="1">
      <formula>V148=0</formula>
    </cfRule>
  </conditionalFormatting>
  <conditionalFormatting sqref="K202">
    <cfRule type="expression" priority="7" dxfId="4" stopIfTrue="1">
      <formula>$K$166+$I$166&lt;$K$202</formula>
    </cfRule>
  </conditionalFormatting>
  <conditionalFormatting sqref="E205">
    <cfRule type="expression" priority="8" dxfId="9" stopIfTrue="1">
      <formula>OR(AND($U$11=1,$W$164="ok"),AND($U$11=2,$X$164="ok"))</formula>
    </cfRule>
    <cfRule type="expression" priority="9" dxfId="4" stopIfTrue="1">
      <formula>OR(AND($U$11=1,$W$164="nein"),AND($U$11=2,$X$164="nein"))</formula>
    </cfRule>
  </conditionalFormatting>
  <conditionalFormatting sqref="E206">
    <cfRule type="expression" priority="10" dxfId="9" stopIfTrue="1">
      <formula>OR(AND($U$11=1,$W$165="ok"),AND($U$11=2,$X$165="ok"))</formula>
    </cfRule>
    <cfRule type="expression" priority="11" dxfId="4" stopIfTrue="1">
      <formula>OR(AND($U$11=1,$W$165="nein"),AND($U$11=2,$X$165="nein"))</formula>
    </cfRule>
  </conditionalFormatting>
  <conditionalFormatting sqref="E207">
    <cfRule type="expression" priority="12" dxfId="9" stopIfTrue="1">
      <formula>OR(AND($U$11=1,$W$166="ok"),AND($U$11=2,$X$166="ok"))</formula>
    </cfRule>
    <cfRule type="expression" priority="13" dxfId="4" stopIfTrue="1">
      <formula>OR(AND($U$11=1,$W$166="nein"),AND($U$11=2,$X$166="nein"))</formula>
    </cfRule>
  </conditionalFormatting>
  <conditionalFormatting sqref="M169:M171">
    <cfRule type="expression" priority="14" dxfId="9" stopIfTrue="1">
      <formula>$W$173=1</formula>
    </cfRule>
    <cfRule type="expression" priority="15" dxfId="4" stopIfTrue="1">
      <formula>$W$173=2</formula>
    </cfRule>
  </conditionalFormatting>
  <conditionalFormatting sqref="K149">
    <cfRule type="cellIs" priority="16" dxfId="7" operator="greaterThan" stopIfTrue="1">
      <formula>5</formula>
    </cfRule>
  </conditionalFormatting>
  <conditionalFormatting sqref="I166">
    <cfRule type="expression" priority="17" dxfId="4" stopIfTrue="1">
      <formula>OR(AND($U$11=1,$I$166&lt;$W$154),AND($U$11=2,$I$166&lt;$X$154))</formula>
    </cfRule>
  </conditionalFormatting>
  <conditionalFormatting sqref="M166">
    <cfRule type="expression" priority="18" dxfId="4" stopIfTrue="1">
      <formula>OR(AND($U$11=1,$W$166="nein"),AND($U$11=2,$X$166="nein"))</formula>
    </cfRule>
  </conditionalFormatting>
  <conditionalFormatting sqref="K166">
    <cfRule type="expression" priority="19" dxfId="4" stopIfTrue="1">
      <formula>OR(AND($U$11=1,$W$165="nein"),AND($U$11=2,$X$165="nein"))</formula>
    </cfRule>
  </conditionalFormatting>
  <conditionalFormatting sqref="AI159:AK160">
    <cfRule type="expression" priority="20" dxfId="3" stopIfTrue="1">
      <formula>$U$11=""</formula>
    </cfRule>
  </conditionalFormatting>
  <conditionalFormatting sqref="L105">
    <cfRule type="expression" priority="21" dxfId="2" stopIfTrue="1">
      <formula>OR(AND(ROUND($L$105,0)&lt;&gt;0,$J$105=""),$L$105&lt;0)</formula>
    </cfRule>
  </conditionalFormatting>
  <dataValidations count="9">
    <dataValidation type="list" allowBlank="1" showInputMessage="1" showErrorMessage="1" sqref="N16">
      <formula1>$AA$8:$AA$13</formula1>
    </dataValidation>
    <dataValidation type="list" allowBlank="1" showInputMessage="1" showErrorMessage="1" sqref="N15">
      <formula1>$X$8:$X$11</formula1>
    </dataValidation>
    <dataValidation type="list" allowBlank="1" showInputMessage="1" showErrorMessage="1" sqref="H135 H128 H130 H124">
      <formula1>$V$119:$V$121</formula1>
    </dataValidation>
    <dataValidation type="list" allowBlank="1" showInputMessage="1" showErrorMessage="1" sqref="H119:H123 H129 H125:H127">
      <formula1>$V$117:$V$119</formula1>
    </dataValidation>
    <dataValidation type="list" allowBlank="1" showInputMessage="1" showErrorMessage="1" sqref="M33:M34">
      <formula1>$U$14:$U$16</formula1>
    </dataValidation>
    <dataValidation type="list" allowBlank="1" showInputMessage="1" showErrorMessage="1" sqref="B53:E57">
      <formula1>$A$262:$A$267</formula1>
    </dataValidation>
    <dataValidation type="list" allowBlank="1" showInputMessage="1" showErrorMessage="1" sqref="B61:E64">
      <formula1>$A$269:$A$287</formula1>
    </dataValidation>
    <dataValidation type="list" allowBlank="1" showInputMessage="1" showErrorMessage="1" sqref="B71:E73">
      <formula1>$A$295:$A$301</formula1>
    </dataValidation>
    <dataValidation type="list" allowBlank="1" showInputMessage="1" showErrorMessage="1" sqref="C15">
      <formula1>$U$8:$U$10</formula1>
    </dataValidation>
  </dataValidations>
  <printOptions/>
  <pageMargins left="0.71" right="0.19" top="0.61" bottom="0.52" header="0.23" footer="0.28"/>
  <pageSetup fitToHeight="2" horizontalDpi="600" verticalDpi="600" orientation="portrait" paperSize="9" scale="54" r:id="rId3"/>
  <headerFooter alignWithMargins="0">
    <oddFooter>&amp;L&amp;"Arial,Fett"&amp;11© AGRIDEA, BLW&amp;"Arial,Standard"&amp;10  &amp;9GMF / PLVH / PLCSI Version 1.3&amp;C&amp;9&amp;F&amp;R&amp;9&amp;P</oddFooter>
  </headerFooter>
  <rowBreaks count="1" manualBreakCount="1">
    <brk id="87" min="1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C15" sqref="C15:I15"/>
    </sheetView>
  </sheetViews>
  <sheetFormatPr defaultColWidth="12.57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5" customWidth="1"/>
    <col min="7" max="7" width="29.57421875" style="1" customWidth="1"/>
    <col min="8" max="16384" width="12.57421875" style="1" customWidth="1"/>
  </cols>
  <sheetData>
    <row r="1" spans="2:6" ht="6.75" customHeight="1">
      <c r="B1" s="14"/>
      <c r="C1" s="14"/>
      <c r="D1" s="14"/>
      <c r="E1" s="14"/>
      <c r="F1" s="80"/>
    </row>
    <row r="2" spans="1:6" ht="23.25">
      <c r="A2" s="16"/>
      <c r="B2" s="133" t="str">
        <f>Texte!A315</f>
        <v>Tiernormen</v>
      </c>
      <c r="C2" s="133"/>
      <c r="D2" s="133"/>
      <c r="E2" s="133"/>
      <c r="F2" s="133"/>
    </row>
    <row r="3" spans="1:6" ht="23.25">
      <c r="A3" s="16"/>
      <c r="B3" s="16"/>
      <c r="C3" s="17"/>
      <c r="D3" s="16"/>
      <c r="E3" s="16"/>
      <c r="F3" s="81"/>
    </row>
    <row r="4" spans="1:6" ht="14.25" customHeight="1">
      <c r="A4" s="18"/>
      <c r="B4" s="19"/>
      <c r="C4" s="20"/>
      <c r="D4" s="653" t="str">
        <f>Texte!A318</f>
        <v>Grundfutter-</v>
      </c>
      <c r="E4" s="654"/>
      <c r="F4" s="122" t="str">
        <f>Texte!A322</f>
        <v>GVE</v>
      </c>
    </row>
    <row r="5" spans="1:9" ht="14.25" customHeight="1">
      <c r="A5" s="21"/>
      <c r="B5" s="22"/>
      <c r="C5" s="23"/>
      <c r="D5" s="655" t="str">
        <f>Texte!A319</f>
        <v>verzehr</v>
      </c>
      <c r="E5" s="656"/>
      <c r="F5" s="123" t="str">
        <f>Texte!A323</f>
        <v>Faktoren</v>
      </c>
      <c r="G5" s="151" t="s">
        <v>156</v>
      </c>
      <c r="H5" s="151" t="s">
        <v>157</v>
      </c>
      <c r="I5" s="151"/>
    </row>
    <row r="6" spans="1:9" ht="13.5" customHeight="1">
      <c r="A6" s="18"/>
      <c r="B6" s="24" t="str">
        <f>Texte!A316</f>
        <v>Tierkategorie</v>
      </c>
      <c r="C6" s="25" t="str">
        <f>Texte!A317</f>
        <v>Einheit</v>
      </c>
      <c r="D6" s="26" t="str">
        <f>Texte!A320</f>
        <v>TS/Tag</v>
      </c>
      <c r="E6" s="27" t="str">
        <f>Texte!A321</f>
        <v>TS/Jahr</v>
      </c>
      <c r="F6" s="121"/>
      <c r="G6" s="151"/>
      <c r="H6" s="151"/>
      <c r="I6" s="151"/>
    </row>
    <row r="7" spans="1:9" ht="23.25">
      <c r="A7" s="21"/>
      <c r="B7" s="28"/>
      <c r="C7" s="29"/>
      <c r="D7" s="30" t="s">
        <v>1185</v>
      </c>
      <c r="E7" s="31" t="s">
        <v>145</v>
      </c>
      <c r="F7" s="121"/>
      <c r="G7" s="151"/>
      <c r="H7" s="151"/>
      <c r="I7" s="151"/>
    </row>
    <row r="8" spans="2:17" ht="12.75">
      <c r="B8" s="32" t="str">
        <f>Texte!A122</f>
        <v>Milchkühe</v>
      </c>
      <c r="C8" s="33" t="str">
        <f>Texte!A326</f>
        <v>1 Stück</v>
      </c>
      <c r="D8" s="120">
        <v>15.9</v>
      </c>
      <c r="E8" s="33">
        <v>58</v>
      </c>
      <c r="F8" s="124">
        <v>1</v>
      </c>
      <c r="G8" s="151"/>
      <c r="H8" s="151"/>
      <c r="I8" s="151"/>
      <c r="J8" s="50"/>
      <c r="K8" s="50"/>
      <c r="L8" s="50"/>
      <c r="M8" s="49"/>
      <c r="N8" s="49"/>
      <c r="O8" s="49"/>
      <c r="P8" s="49"/>
      <c r="Q8" s="49"/>
    </row>
    <row r="9" spans="2:17" ht="12.75">
      <c r="B9" s="34" t="str">
        <f>Texte!A123</f>
        <v>andere Kühe</v>
      </c>
      <c r="C9" s="36" t="str">
        <f>Texte!A326</f>
        <v>1 Stück</v>
      </c>
      <c r="D9" s="35">
        <v>15.9</v>
      </c>
      <c r="E9" s="36">
        <v>58</v>
      </c>
      <c r="F9" s="125">
        <v>1</v>
      </c>
      <c r="G9" s="151"/>
      <c r="H9" s="151"/>
      <c r="I9" s="151"/>
      <c r="J9" s="50"/>
      <c r="K9" s="50"/>
      <c r="L9" s="50"/>
      <c r="M9" s="49"/>
      <c r="N9" s="49"/>
      <c r="O9" s="49"/>
      <c r="P9" s="49"/>
      <c r="Q9" s="49"/>
    </row>
    <row r="10" spans="2:17" ht="12.75">
      <c r="B10" s="34" t="str">
        <f>Texte!A124</f>
        <v>Mutterkühe schwer (&gt;= 600 kg)</v>
      </c>
      <c r="C10" s="36" t="str">
        <f>Texte!A326</f>
        <v>1 Stück</v>
      </c>
      <c r="D10" s="35">
        <v>11</v>
      </c>
      <c r="E10" s="36">
        <v>40</v>
      </c>
      <c r="F10" s="125">
        <v>1</v>
      </c>
      <c r="G10" s="151"/>
      <c r="H10" s="151"/>
      <c r="I10" s="151"/>
      <c r="J10" s="50"/>
      <c r="K10" s="50"/>
      <c r="L10" s="50"/>
      <c r="M10" s="49"/>
      <c r="N10" s="49"/>
      <c r="O10" s="49"/>
      <c r="P10" s="49"/>
      <c r="Q10" s="49"/>
    </row>
    <row r="11" spans="2:17" ht="12.75">
      <c r="B11" s="34" t="str">
        <f>Texte!A125</f>
        <v>Mutterkühe leicht (450 kg)</v>
      </c>
      <c r="C11" s="36" t="str">
        <f>Texte!A326</f>
        <v>1 Stück</v>
      </c>
      <c r="D11" s="35">
        <v>9.6</v>
      </c>
      <c r="E11" s="36">
        <v>35</v>
      </c>
      <c r="F11" s="125">
        <v>1</v>
      </c>
      <c r="G11" s="151"/>
      <c r="H11" s="151"/>
      <c r="I11" s="151"/>
      <c r="J11" s="50"/>
      <c r="K11" s="50"/>
      <c r="L11" s="50"/>
      <c r="M11" s="49"/>
      <c r="N11" s="49"/>
      <c r="O11" s="49"/>
      <c r="P11" s="49"/>
      <c r="Q11" s="49"/>
    </row>
    <row r="12" spans="2:17" ht="12.75">
      <c r="B12" s="37" t="str">
        <f>Texte!A126</f>
        <v>Ammenkühe 2 Kälber / Jahr, ohne Kälber</v>
      </c>
      <c r="C12" s="39" t="str">
        <f>Texte!A326</f>
        <v>1 Stück</v>
      </c>
      <c r="D12" s="38">
        <v>12.3</v>
      </c>
      <c r="E12" s="39">
        <v>45</v>
      </c>
      <c r="F12" s="125">
        <v>1</v>
      </c>
      <c r="G12" s="151"/>
      <c r="H12" s="151"/>
      <c r="I12" s="151"/>
      <c r="J12" s="49"/>
      <c r="K12" s="49"/>
      <c r="L12" s="49"/>
      <c r="M12" s="49"/>
      <c r="N12" s="49"/>
      <c r="O12" s="49"/>
      <c r="P12" s="49"/>
      <c r="Q12" s="49"/>
    </row>
    <row r="13" spans="2:17" ht="12.75">
      <c r="B13" s="34" t="str">
        <f>Texte!A127</f>
        <v>Jungvieh, 0 bis 1-jährig</v>
      </c>
      <c r="C13" s="70" t="str">
        <f>Texte!A326</f>
        <v>1 Stück</v>
      </c>
      <c r="D13" s="35">
        <v>3</v>
      </c>
      <c r="E13" s="36">
        <v>11</v>
      </c>
      <c r="F13" s="128">
        <f>(160*0.13+205*0.33)/365</f>
        <v>0.24232876712328769</v>
      </c>
      <c r="G13" s="151" t="s">
        <v>155</v>
      </c>
      <c r="H13" s="151" t="s">
        <v>1154</v>
      </c>
      <c r="I13" s="151"/>
      <c r="J13" s="49"/>
      <c r="K13" s="49"/>
      <c r="L13" s="49"/>
      <c r="M13" s="49"/>
      <c r="N13" s="49"/>
      <c r="O13" s="49"/>
      <c r="P13" s="49"/>
      <c r="Q13" s="49"/>
    </row>
    <row r="14" spans="2:17" ht="12.75">
      <c r="B14" s="34" t="str">
        <f>Texte!A128</f>
        <v>Jungvieh, 1 bis 2-jährig</v>
      </c>
      <c r="C14" s="70" t="str">
        <f>Texte!A326</f>
        <v>1 Stück</v>
      </c>
      <c r="D14" s="35">
        <v>6</v>
      </c>
      <c r="E14" s="36">
        <v>22</v>
      </c>
      <c r="F14" s="125">
        <v>0.4</v>
      </c>
      <c r="G14" s="151"/>
      <c r="H14" s="151"/>
      <c r="I14" s="151"/>
      <c r="J14" s="49"/>
      <c r="K14" s="49"/>
      <c r="L14" s="49"/>
      <c r="M14" s="49"/>
      <c r="N14" s="49"/>
      <c r="O14" s="49"/>
      <c r="P14" s="49"/>
      <c r="Q14" s="49"/>
    </row>
    <row r="15" spans="2:17" ht="12.75">
      <c r="B15" s="37" t="str">
        <f>Texte!A129</f>
        <v>Rinder &gt;2-jährig</v>
      </c>
      <c r="C15" s="39" t="str">
        <f>Texte!A327</f>
        <v>1 Platz</v>
      </c>
      <c r="D15" s="38">
        <v>9</v>
      </c>
      <c r="E15" s="39">
        <v>33</v>
      </c>
      <c r="F15" s="125">
        <v>0.6</v>
      </c>
      <c r="G15" s="151"/>
      <c r="H15" s="151"/>
      <c r="I15" s="151"/>
      <c r="J15" s="49"/>
      <c r="K15" s="49"/>
      <c r="L15" s="49"/>
      <c r="M15" s="49"/>
      <c r="N15" s="49"/>
      <c r="O15" s="49"/>
      <c r="P15" s="49"/>
      <c r="Q15" s="49"/>
    </row>
    <row r="16" spans="2:17" ht="12.75">
      <c r="B16" s="34" t="str">
        <f>Texte!A130</f>
        <v>Mastkälber (50-200 kg)</v>
      </c>
      <c r="C16" s="70" t="str">
        <f>Texte!A327</f>
        <v>1 Platz</v>
      </c>
      <c r="D16" s="35">
        <v>0.3</v>
      </c>
      <c r="E16" s="40">
        <v>1.2</v>
      </c>
      <c r="F16" s="128">
        <v>0.1</v>
      </c>
      <c r="G16" s="151"/>
      <c r="H16" s="151"/>
      <c r="I16" s="151"/>
      <c r="J16" s="49"/>
      <c r="K16" s="49"/>
      <c r="L16" s="49"/>
      <c r="M16" s="49"/>
      <c r="N16" s="49"/>
      <c r="O16" s="49"/>
      <c r="P16" s="49"/>
      <c r="Q16" s="49"/>
    </row>
    <row r="17" spans="2:17" ht="12.75">
      <c r="B17" s="34" t="str">
        <f>Texte!A131</f>
        <v>Mutterkuhkälber leicht, ca 350 kg</v>
      </c>
      <c r="C17" s="70" t="str">
        <f>Texte!A327</f>
        <v>1 Platz</v>
      </c>
      <c r="D17" s="35">
        <v>3.6</v>
      </c>
      <c r="E17" s="40">
        <v>13.2</v>
      </c>
      <c r="F17" s="125">
        <f>(160*0.13+140*0.33)/300</f>
        <v>0.22333333333333333</v>
      </c>
      <c r="G17" s="151" t="s">
        <v>158</v>
      </c>
      <c r="H17" s="151" t="s">
        <v>1155</v>
      </c>
      <c r="I17" s="151"/>
      <c r="J17" s="49"/>
      <c r="K17" s="49"/>
      <c r="L17" s="49"/>
      <c r="M17" s="49"/>
      <c r="N17" s="49"/>
      <c r="O17" s="49"/>
      <c r="P17" s="49"/>
      <c r="Q17" s="49"/>
    </row>
    <row r="18" spans="2:17" ht="12.75">
      <c r="B18" s="37" t="str">
        <f>Texte!A132</f>
        <v>Mutterkuhkälber schwer, ca 400 kg</v>
      </c>
      <c r="C18" s="39" t="str">
        <f>Texte!A327</f>
        <v>1 Platz</v>
      </c>
      <c r="D18" s="38">
        <v>5.3</v>
      </c>
      <c r="E18" s="41">
        <v>19.2</v>
      </c>
      <c r="F18" s="125">
        <f>(160*0.13+140*0.33)/300</f>
        <v>0.22333333333333333</v>
      </c>
      <c r="G18" s="151" t="s">
        <v>158</v>
      </c>
      <c r="H18" s="151" t="s">
        <v>1155</v>
      </c>
      <c r="I18" s="151"/>
      <c r="J18" s="49"/>
      <c r="K18" s="49"/>
      <c r="L18" s="49"/>
      <c r="M18" s="49"/>
      <c r="N18" s="49"/>
      <c r="O18" s="49"/>
      <c r="P18" s="49"/>
      <c r="Q18" s="49"/>
    </row>
    <row r="19" spans="2:17" ht="12.75">
      <c r="B19" s="34" t="str">
        <f>Texte!A133</f>
        <v>Rindviehmast intensiv, 65-520 kg</v>
      </c>
      <c r="C19" s="70" t="str">
        <f>Texte!A327</f>
        <v>1 Platz</v>
      </c>
      <c r="D19" s="35">
        <v>3.8</v>
      </c>
      <c r="E19" s="36">
        <v>14</v>
      </c>
      <c r="F19" s="129">
        <f>(160*0.13+205*0.33+60*0.4)/400</f>
        <v>0.281125</v>
      </c>
      <c r="G19" s="152" t="s">
        <v>296</v>
      </c>
      <c r="H19" s="152" t="s">
        <v>1152</v>
      </c>
      <c r="I19" s="151"/>
      <c r="J19" s="49"/>
      <c r="K19" s="49"/>
      <c r="L19" s="49"/>
      <c r="M19" s="49"/>
      <c r="N19" s="49"/>
      <c r="O19" s="49"/>
      <c r="P19" s="49"/>
      <c r="Q19" s="49"/>
    </row>
    <row r="20" spans="2:17" ht="12.75">
      <c r="B20" s="34" t="str">
        <f>Texte!A134</f>
        <v>Rindviehmast Tränker &lt; 4 Mte.</v>
      </c>
      <c r="C20" s="70" t="str">
        <f>Texte!A327</f>
        <v>1 Platz</v>
      </c>
      <c r="D20" s="35">
        <v>0.4</v>
      </c>
      <c r="E20" s="42">
        <v>1.5</v>
      </c>
      <c r="F20" s="125">
        <v>0.13</v>
      </c>
      <c r="G20" s="469">
        <v>0.13</v>
      </c>
      <c r="H20" s="153">
        <v>0.1</v>
      </c>
      <c r="I20" s="151"/>
      <c r="J20" s="49"/>
      <c r="K20" s="49"/>
      <c r="L20" s="49"/>
      <c r="M20" s="49"/>
      <c r="N20" s="49"/>
      <c r="O20" s="49"/>
      <c r="P20" s="49"/>
      <c r="Q20" s="49"/>
    </row>
    <row r="21" spans="2:17" ht="12.75">
      <c r="B21" s="34" t="str">
        <f>Texte!A135</f>
        <v>Rindviehmast intensiv &gt; 4 Monate</v>
      </c>
      <c r="C21" s="70" t="str">
        <f>Texte!A327</f>
        <v>1 Platz</v>
      </c>
      <c r="D21" s="35">
        <v>4.7</v>
      </c>
      <c r="E21" s="36">
        <v>17</v>
      </c>
      <c r="F21" s="125">
        <f>(40*0.13+205*0.33+60*0.4)/365</f>
        <v>0.2653424657534247</v>
      </c>
      <c r="G21" s="151" t="s">
        <v>159</v>
      </c>
      <c r="H21" s="151" t="s">
        <v>1157</v>
      </c>
      <c r="I21" s="151"/>
      <c r="J21" s="49"/>
      <c r="K21" s="49"/>
      <c r="L21" s="49"/>
      <c r="M21" s="49"/>
      <c r="N21" s="49"/>
      <c r="O21" s="49"/>
      <c r="P21" s="49"/>
      <c r="Q21" s="49"/>
    </row>
    <row r="22" spans="2:17" ht="12.75">
      <c r="B22" s="34" t="str">
        <f>Texte!A136</f>
        <v>Rindviehmast Weidemast &gt; 4 Monate</v>
      </c>
      <c r="C22" s="70" t="str">
        <f>Texte!A327</f>
        <v>1 Platz</v>
      </c>
      <c r="D22" s="35">
        <v>6.6</v>
      </c>
      <c r="E22" s="36">
        <v>24</v>
      </c>
      <c r="F22" s="125">
        <f>(40*0.13+205*0.33+365*0.4)/610</f>
        <v>0.35877049180327875</v>
      </c>
      <c r="G22" s="151" t="s">
        <v>160</v>
      </c>
      <c r="H22" s="151" t="s">
        <v>1156</v>
      </c>
      <c r="I22" s="151"/>
      <c r="J22" s="49"/>
      <c r="K22" s="49"/>
      <c r="L22" s="49"/>
      <c r="M22" s="49"/>
      <c r="N22" s="49"/>
      <c r="O22" s="49"/>
      <c r="P22" s="49"/>
      <c r="Q22" s="49"/>
    </row>
    <row r="23" spans="2:17" ht="12.75">
      <c r="B23" s="34" t="str">
        <f>Texte!A137</f>
        <v>Rindviehmast, intensive Ausmast</v>
      </c>
      <c r="C23" s="70" t="str">
        <f>Texte!A327</f>
        <v>1 Platz</v>
      </c>
      <c r="D23" s="35">
        <v>5.8</v>
      </c>
      <c r="E23" s="36">
        <v>21</v>
      </c>
      <c r="F23" s="126">
        <f>(95*0.33+135*0.4)/365</f>
        <v>0.23383561643835615</v>
      </c>
      <c r="G23" s="151" t="s">
        <v>161</v>
      </c>
      <c r="H23" s="151" t="s">
        <v>1153</v>
      </c>
      <c r="I23" s="151"/>
      <c r="J23" s="49"/>
      <c r="K23" s="49"/>
      <c r="L23" s="49"/>
      <c r="M23" s="49"/>
      <c r="N23" s="49"/>
      <c r="O23" s="49"/>
      <c r="P23" s="49"/>
      <c r="Q23" s="49"/>
    </row>
    <row r="24" spans="2:17" ht="12.75">
      <c r="B24" s="37" t="str">
        <f>Texte!A138</f>
        <v>Zuchtstier</v>
      </c>
      <c r="C24" s="39" t="str">
        <f>Texte!A326</f>
        <v>1 Stück</v>
      </c>
      <c r="D24" s="38">
        <v>8.2</v>
      </c>
      <c r="E24" s="39">
        <v>30</v>
      </c>
      <c r="F24" s="125">
        <v>0.6</v>
      </c>
      <c r="G24" s="151"/>
      <c r="H24" s="151"/>
      <c r="I24" s="151"/>
      <c r="J24" s="49"/>
      <c r="K24" s="49"/>
      <c r="L24" s="49"/>
      <c r="M24" s="49"/>
      <c r="N24" s="49"/>
      <c r="O24" s="49"/>
      <c r="P24" s="49"/>
      <c r="Q24" s="49"/>
    </row>
    <row r="25" spans="2:17" ht="12.75">
      <c r="B25" s="34" t="str">
        <f>Texte!A141</f>
        <v>Zuchtstute inkl. Fohlen</v>
      </c>
      <c r="C25" s="70" t="str">
        <f>Texte!A326</f>
        <v>1 Stück</v>
      </c>
      <c r="D25" s="35">
        <v>7.9</v>
      </c>
      <c r="E25" s="36">
        <v>29</v>
      </c>
      <c r="F25" s="128">
        <v>1</v>
      </c>
      <c r="G25" s="151"/>
      <c r="H25" s="151"/>
      <c r="I25" s="151"/>
      <c r="J25" s="49"/>
      <c r="K25" s="49"/>
      <c r="L25" s="49"/>
      <c r="M25" s="49"/>
      <c r="N25" s="49"/>
      <c r="O25" s="49"/>
      <c r="P25" s="49"/>
      <c r="Q25" s="49"/>
    </row>
    <row r="26" spans="2:9" ht="12.75">
      <c r="B26" s="34" t="str">
        <f>Texte!A142</f>
        <v>Stute inkl. Fohlen, Hafer als KF (max. 700 kg)</v>
      </c>
      <c r="C26" s="70" t="str">
        <f>Texte!A326</f>
        <v>1 Stück</v>
      </c>
      <c r="D26" s="35">
        <v>9.3</v>
      </c>
      <c r="E26" s="36">
        <v>34</v>
      </c>
      <c r="F26" s="125">
        <v>1</v>
      </c>
      <c r="G26" s="151"/>
      <c r="H26" s="151"/>
      <c r="I26" s="151"/>
    </row>
    <row r="27" spans="2:6" ht="12.75">
      <c r="B27" s="34" t="str">
        <f>Texte!A143</f>
        <v>Pferde über 3-jährig</v>
      </c>
      <c r="C27" s="70" t="str">
        <f>Texte!A326</f>
        <v>1 Stück</v>
      </c>
      <c r="D27" s="35">
        <v>7.9</v>
      </c>
      <c r="E27" s="36">
        <v>29</v>
      </c>
      <c r="F27" s="125">
        <v>0.7</v>
      </c>
    </row>
    <row r="28" spans="2:6" ht="12.75">
      <c r="B28" s="37" t="str">
        <f>Texte!A144</f>
        <v>Fohlen 0.5 bis 3-jährig</v>
      </c>
      <c r="C28" s="39" t="str">
        <f>Texte!A326</f>
        <v>1 Stück</v>
      </c>
      <c r="D28" s="38">
        <v>7.1</v>
      </c>
      <c r="E28" s="39">
        <v>26</v>
      </c>
      <c r="F28" s="125">
        <v>0.5</v>
      </c>
    </row>
    <row r="29" spans="2:6" ht="12.75">
      <c r="B29" s="34" t="str">
        <f>Texte!A145</f>
        <v>Maultiere, Maulesel jeden Alters</v>
      </c>
      <c r="C29" s="70" t="str">
        <f>Texte!A327</f>
        <v>1 Platz</v>
      </c>
      <c r="D29" s="35">
        <v>4.5</v>
      </c>
      <c r="E29" s="43">
        <v>16.6</v>
      </c>
      <c r="F29" s="128">
        <v>0.4</v>
      </c>
    </row>
    <row r="30" spans="2:6" ht="12.75">
      <c r="B30" s="37" t="str">
        <f>Texte!A146</f>
        <v>Ponys, Kleinpferde und Esel</v>
      </c>
      <c r="C30" s="39" t="str">
        <f>Texte!A327</f>
        <v>1 Platz</v>
      </c>
      <c r="D30" s="38">
        <v>2.8</v>
      </c>
      <c r="E30" s="44">
        <v>10.4</v>
      </c>
      <c r="F30" s="125">
        <v>0.25</v>
      </c>
    </row>
    <row r="31" spans="2:6" ht="12.75">
      <c r="B31" s="34" t="str">
        <f>Texte!A147</f>
        <v>Ziegenplatz (inkl. Juntiere und Anteil Bock)</v>
      </c>
      <c r="C31" s="70" t="str">
        <f>Texte!A327</f>
        <v>1 Platz</v>
      </c>
      <c r="D31" s="35">
        <v>1.9</v>
      </c>
      <c r="E31" s="42">
        <v>6.8</v>
      </c>
      <c r="F31" s="128">
        <v>0.17</v>
      </c>
    </row>
    <row r="32" spans="2:6" ht="12.75">
      <c r="B32" s="34" t="str">
        <f>Texte!A148</f>
        <v>Schafplatz (inkl. Jungtiere und Anteil Bock)</v>
      </c>
      <c r="C32" s="70" t="str">
        <f>Texte!A327</f>
        <v>1 Platz</v>
      </c>
      <c r="D32" s="35">
        <v>2.1</v>
      </c>
      <c r="E32" s="43">
        <v>7.6</v>
      </c>
      <c r="F32" s="125">
        <v>0.17</v>
      </c>
    </row>
    <row r="33" spans="2:6" ht="12.75">
      <c r="B33" s="34" t="str">
        <f>Texte!A149</f>
        <v>Milchschafe (inkl.Jungtiere)</v>
      </c>
      <c r="C33" s="70" t="str">
        <f>Texte!A327</f>
        <v>1 Platz</v>
      </c>
      <c r="D33" s="35">
        <v>3</v>
      </c>
      <c r="E33" s="45">
        <v>11</v>
      </c>
      <c r="F33" s="125">
        <v>0.25</v>
      </c>
    </row>
    <row r="34" spans="2:6" ht="12.75">
      <c r="B34" s="37" t="str">
        <f>Texte!A150</f>
        <v>Weidemastlamm, -gitzi</v>
      </c>
      <c r="C34" s="39" t="str">
        <f>Texte!A327</f>
        <v>1 Platz</v>
      </c>
      <c r="D34" s="38">
        <v>0.4</v>
      </c>
      <c r="E34" s="41">
        <v>1.4</v>
      </c>
      <c r="F34" s="125">
        <v>0.03</v>
      </c>
    </row>
    <row r="35" spans="2:6" ht="12.75">
      <c r="B35" s="34" t="str">
        <f>Texte!A151</f>
        <v>Damhirsche inkl. Jungtiere, 1 Einheit=2 Tiere</v>
      </c>
      <c r="C35" s="70" t="str">
        <f>Texte!A324</f>
        <v>Einheit</v>
      </c>
      <c r="D35" s="35">
        <v>2.7</v>
      </c>
      <c r="E35" s="36">
        <v>10</v>
      </c>
      <c r="F35" s="128">
        <f>2*0.1</f>
        <v>0.2</v>
      </c>
    </row>
    <row r="36" spans="2:6" ht="12.75">
      <c r="B36" s="34" t="str">
        <f>Texte!A152</f>
        <v>Rothirsche inkl. Jungtiere, 1 Einheit=2 Tiere</v>
      </c>
      <c r="C36" s="70" t="str">
        <f>Texte!A324</f>
        <v>Einheit</v>
      </c>
      <c r="D36" s="35">
        <v>5.5</v>
      </c>
      <c r="E36" s="36">
        <v>20</v>
      </c>
      <c r="F36" s="125">
        <f>2*0.2</f>
        <v>0.4</v>
      </c>
    </row>
    <row r="37" spans="2:6" ht="12.75">
      <c r="B37" s="34" t="str">
        <f>Texte!A153</f>
        <v>Wapiti inkl. Jungtiere, 1 Einheit=2 Tiere</v>
      </c>
      <c r="C37" s="70" t="str">
        <f>Texte!A324</f>
        <v>Einheit</v>
      </c>
      <c r="D37" s="35">
        <v>11</v>
      </c>
      <c r="E37" s="36">
        <v>40</v>
      </c>
      <c r="F37" s="125">
        <f>2*0.2</f>
        <v>0.4</v>
      </c>
    </row>
    <row r="38" spans="2:6" ht="12.75">
      <c r="B38" s="34" t="str">
        <f>Texte!A154</f>
        <v>Bisons über 3-jährig</v>
      </c>
      <c r="C38" s="70" t="str">
        <f>Texte!A326</f>
        <v>1 Stück</v>
      </c>
      <c r="D38" s="35">
        <v>10.7</v>
      </c>
      <c r="E38" s="36">
        <v>39</v>
      </c>
      <c r="F38" s="125">
        <v>0.8</v>
      </c>
    </row>
    <row r="39" spans="2:6" ht="12.75">
      <c r="B39" s="37" t="str">
        <f>Texte!A155</f>
        <v>Bisons bis 3-jährig (Zucht u. Mast)</v>
      </c>
      <c r="C39" s="39" t="str">
        <f>Texte!A326</f>
        <v>1 Stück</v>
      </c>
      <c r="D39" s="38">
        <v>4.9</v>
      </c>
      <c r="E39" s="39">
        <v>18</v>
      </c>
      <c r="F39" s="125">
        <v>0.4</v>
      </c>
    </row>
    <row r="40" spans="2:6" ht="12.75">
      <c r="B40" s="34" t="str">
        <f>Texte!A156</f>
        <v>Lamas über 2-jährig</v>
      </c>
      <c r="C40" s="70" t="str">
        <f>Texte!A326</f>
        <v>1 Stück</v>
      </c>
      <c r="D40" s="35">
        <v>2.3</v>
      </c>
      <c r="E40" s="42">
        <v>8.5</v>
      </c>
      <c r="F40" s="128">
        <v>0.17</v>
      </c>
    </row>
    <row r="41" spans="2:6" ht="12.75">
      <c r="B41" s="34" t="str">
        <f>Texte!A157</f>
        <v>Lamas unter 2-jährig</v>
      </c>
      <c r="C41" s="70" t="str">
        <f>Texte!A326</f>
        <v>1 Stück</v>
      </c>
      <c r="D41" s="35">
        <v>1.3</v>
      </c>
      <c r="E41" s="42">
        <v>4.9</v>
      </c>
      <c r="F41" s="125">
        <v>0.11</v>
      </c>
    </row>
    <row r="42" spans="2:6" ht="12.75">
      <c r="B42" s="34" t="str">
        <f>Texte!A158</f>
        <v>Alpakas über 2-jährig</v>
      </c>
      <c r="C42" s="70" t="str">
        <f>Texte!A326</f>
        <v>1 Stück</v>
      </c>
      <c r="D42" s="35">
        <v>1.5</v>
      </c>
      <c r="E42" s="42">
        <v>5.5</v>
      </c>
      <c r="F42" s="125">
        <v>0.11</v>
      </c>
    </row>
    <row r="43" spans="2:6" ht="12.75">
      <c r="B43" s="37" t="str">
        <f>Texte!A159</f>
        <v>Alpakas unter 2-jährig</v>
      </c>
      <c r="C43" s="39" t="str">
        <f>Texte!A326</f>
        <v>1 Stück</v>
      </c>
      <c r="D43" s="38">
        <v>0.8</v>
      </c>
      <c r="E43" s="39">
        <v>3</v>
      </c>
      <c r="F43" s="125">
        <v>0.07</v>
      </c>
    </row>
    <row r="44" spans="2:6" ht="12.75">
      <c r="B44" s="34" t="str">
        <f>Texte!A161</f>
        <v>Kaninchen, Zibben inkl. Jungtiere bis 35 d</v>
      </c>
      <c r="C44" s="48" t="str">
        <f>Texte!A326</f>
        <v>1 Stück</v>
      </c>
      <c r="D44" s="35">
        <v>0.1</v>
      </c>
      <c r="E44" s="48">
        <v>0.36</v>
      </c>
      <c r="F44" s="128">
        <v>0.034</v>
      </c>
    </row>
    <row r="45" spans="2:6" ht="12.75">
      <c r="B45" s="34" t="str">
        <f>Texte!A162</f>
        <v>Kaninchen, Jungtiere ab ca 35 Tagen</v>
      </c>
      <c r="C45" s="42" t="str">
        <f>Texte!A325</f>
        <v>100 Pl.</v>
      </c>
      <c r="D45" s="35">
        <v>1.1</v>
      </c>
      <c r="E45" s="42">
        <v>4</v>
      </c>
      <c r="F45" s="125">
        <v>1.1</v>
      </c>
    </row>
    <row r="46" spans="2:6" ht="12.75">
      <c r="B46" s="34" t="str">
        <f>Texte!A163</f>
        <v>Strausse &gt; 13 Monate</v>
      </c>
      <c r="C46" s="42" t="str">
        <f>Texte!A326</f>
        <v>1 Stück</v>
      </c>
      <c r="D46" s="35">
        <v>3</v>
      </c>
      <c r="E46" s="42">
        <v>11</v>
      </c>
      <c r="F46" s="125">
        <v>0.26</v>
      </c>
    </row>
    <row r="47" spans="2:6" ht="12.75">
      <c r="B47" s="37" t="str">
        <f>Texte!A164</f>
        <v>Strausse &lt; 13 Monate</v>
      </c>
      <c r="C47" s="46" t="str">
        <f>Texte!A326</f>
        <v>1 Stück</v>
      </c>
      <c r="D47" s="38">
        <v>0.5</v>
      </c>
      <c r="E47" s="46">
        <v>2</v>
      </c>
      <c r="F47" s="125">
        <v>0.14</v>
      </c>
    </row>
    <row r="48" spans="2:6" ht="12.75">
      <c r="B48" s="34" t="str">
        <f>Texte!A165</f>
        <v>Mastschweineplatz / Remonten (25-100 kg)</v>
      </c>
      <c r="C48" s="70" t="str">
        <f>Texte!A327</f>
        <v>1 Platz</v>
      </c>
      <c r="D48" s="35"/>
      <c r="E48" s="42"/>
      <c r="F48" s="128">
        <v>0.17</v>
      </c>
    </row>
    <row r="49" spans="2:6" ht="12.75">
      <c r="B49" s="37" t="str">
        <f>Texte!A166</f>
        <v>Mastschweine / Remonten (25-100 kg)</v>
      </c>
      <c r="C49" s="39" t="str">
        <f>Texte!A326</f>
        <v>1 Stück</v>
      </c>
      <c r="D49" s="38"/>
      <c r="E49" s="46"/>
      <c r="F49" s="125"/>
    </row>
    <row r="50" spans="2:6" ht="12.75">
      <c r="B50" s="34" t="str">
        <f>Texte!A167</f>
        <v>Zuchtschweine inkl. Ferkel 25-30 kg</v>
      </c>
      <c r="C50" s="70" t="str">
        <f>Texte!A327</f>
        <v>1 Platz</v>
      </c>
      <c r="D50" s="35"/>
      <c r="E50" s="42">
        <v>0.5</v>
      </c>
      <c r="F50" s="128"/>
    </row>
    <row r="51" spans="2:6" ht="12.75">
      <c r="B51" s="34" t="str">
        <f>Texte!A168</f>
        <v>Galtsauenplatz</v>
      </c>
      <c r="C51" s="70" t="str">
        <f>Texte!A327</f>
        <v>1 Platz</v>
      </c>
      <c r="D51" s="35"/>
      <c r="E51" s="42">
        <v>0.5</v>
      </c>
      <c r="F51" s="125">
        <v>0.26</v>
      </c>
    </row>
    <row r="52" spans="2:6" ht="12.75">
      <c r="B52" s="34" t="str">
        <f>Texte!A169</f>
        <v>Galtsauen, pro Umtrieb</v>
      </c>
      <c r="C52" s="70" t="str">
        <f>Texte!A326</f>
        <v>1 Stück</v>
      </c>
      <c r="D52" s="35"/>
      <c r="E52" s="42">
        <v>0.5</v>
      </c>
      <c r="F52" s="125"/>
    </row>
    <row r="53" spans="2:6" ht="12.75">
      <c r="B53" s="34" t="str">
        <f>Texte!A170</f>
        <v>Zuchtschweine, säugend</v>
      </c>
      <c r="C53" s="70" t="str">
        <f>Texte!A327</f>
        <v>1 Platz</v>
      </c>
      <c r="D53" s="35"/>
      <c r="E53" s="42">
        <v>0.5</v>
      </c>
      <c r="F53" s="125">
        <v>0.55</v>
      </c>
    </row>
    <row r="54" spans="2:6" ht="12.75">
      <c r="B54" s="37" t="str">
        <f>Texte!A171</f>
        <v>Zuchtschweine, säugend, pro Umtrieb</v>
      </c>
      <c r="C54" s="39" t="str">
        <f>Texte!A326</f>
        <v>1 Stück</v>
      </c>
      <c r="D54" s="38" t="s">
        <v>103</v>
      </c>
      <c r="E54" s="42">
        <v>0.5</v>
      </c>
      <c r="F54" s="125"/>
    </row>
    <row r="55" spans="2:6" ht="12.75">
      <c r="B55" s="37" t="str">
        <f>Texte!A172</f>
        <v>Zuchteber</v>
      </c>
      <c r="C55" s="47" t="str">
        <f>Texte!A326</f>
        <v>1 Stück</v>
      </c>
      <c r="D55" s="38"/>
      <c r="E55" s="47">
        <v>0.5</v>
      </c>
      <c r="F55" s="128">
        <v>0.25</v>
      </c>
    </row>
    <row r="56" spans="2:6" ht="12.75">
      <c r="B56" s="51" t="str">
        <f>Texte!A173</f>
        <v>Ferkel abgesetzt bis 25-30 kg</v>
      </c>
      <c r="C56" s="42" t="str">
        <f>Texte!A327</f>
        <v>1 Platz</v>
      </c>
      <c r="D56" s="35"/>
      <c r="E56" s="42"/>
      <c r="F56" s="128">
        <v>0.06</v>
      </c>
    </row>
    <row r="57" spans="2:6" ht="12.75">
      <c r="B57" s="130" t="str">
        <f>Texte!A174</f>
        <v>Ferkel abgesetzt bis 25-30 kg</v>
      </c>
      <c r="C57" s="131" t="str">
        <f>Texte!A326</f>
        <v>1 Stück</v>
      </c>
      <c r="D57" s="132"/>
      <c r="E57" s="131"/>
      <c r="F57" s="127"/>
    </row>
  </sheetData>
  <sheetProtection password="98F7" sheet="1" objects="1" scenarios="1"/>
  <mergeCells count="2">
    <mergeCell ref="D4:E4"/>
    <mergeCell ref="D5:E5"/>
  </mergeCells>
  <printOptions/>
  <pageMargins left="0.787401575" right="0.54" top="0.984251969" bottom="0.984251969" header="0.4921259845" footer="0.4921259845"/>
  <pageSetup horizontalDpi="600" verticalDpi="600" orientation="portrait" paperSize="9" r:id="rId1"/>
  <headerFooter alignWithMargins="0">
    <oddFooter>&amp;L&amp;"Arial,Fett"&amp;11© AGRIDEA&amp;"Arial,Standard"&amp;10  &amp;9GMF / HLVP&amp;C&amp;9&amp;F&amp;R&amp;9&amp;P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1"/>
  <sheetViews>
    <sheetView zoomScaleSheetLayoutView="80" zoomScalePageLayoutView="0" workbookViewId="0" topLeftCell="A1">
      <selection activeCell="C15" sqref="C15:I15"/>
    </sheetView>
  </sheetViews>
  <sheetFormatPr defaultColWidth="11.421875" defaultRowHeight="12.75"/>
  <cols>
    <col min="1" max="1" width="1.7109375" style="554" customWidth="1"/>
    <col min="2" max="2" width="18.28125" style="554" customWidth="1"/>
    <col min="3" max="3" width="7.57421875" style="554" customWidth="1"/>
    <col min="4" max="4" width="5.57421875" style="554" customWidth="1"/>
    <col min="5" max="5" width="3.57421875" style="554" customWidth="1"/>
    <col min="6" max="6" width="6.8515625" style="554" customWidth="1"/>
    <col min="7" max="7" width="4.00390625" style="554" customWidth="1"/>
    <col min="8" max="8" width="11.7109375" style="554" customWidth="1"/>
    <col min="9" max="9" width="9.8515625" style="554" customWidth="1"/>
    <col min="10" max="10" width="7.7109375" style="554" customWidth="1"/>
    <col min="11" max="11" width="18.57421875" style="554" customWidth="1"/>
    <col min="12" max="12" width="4.7109375" style="554" customWidth="1"/>
    <col min="13" max="13" width="6.7109375" style="565" customWidth="1"/>
    <col min="14" max="16384" width="11.421875" style="565" customWidth="1"/>
  </cols>
  <sheetData>
    <row r="1" s="554" customFormat="1" ht="9" customHeight="1"/>
    <row r="2" spans="1:13" s="554" customFormat="1" ht="21" customHeight="1">
      <c r="A2" s="555"/>
      <c r="D2" s="556" t="str">
        <f>Texte!A360</f>
        <v>Anpassung des eigenen Produktionssytems</v>
      </c>
      <c r="L2" s="468"/>
      <c r="M2" s="468"/>
    </row>
    <row r="3" spans="2:13" s="554" customFormat="1" ht="21" customHeight="1">
      <c r="B3" s="468"/>
      <c r="C3" s="468"/>
      <c r="D3" s="556" t="str">
        <f>Texte!A361</f>
        <v>im Hinblick auf GMF</v>
      </c>
      <c r="E3" s="468"/>
      <c r="F3" s="468"/>
      <c r="G3" s="468"/>
      <c r="H3" s="468"/>
      <c r="I3" s="468"/>
      <c r="J3" s="468"/>
      <c r="K3" s="468"/>
      <c r="L3" s="468"/>
      <c r="M3" s="468"/>
    </row>
    <row r="4" spans="2:13" s="554" customFormat="1" ht="7.5" customHeight="1" thickBot="1">
      <c r="B4" s="557"/>
      <c r="C4" s="557"/>
      <c r="D4" s="558"/>
      <c r="E4" s="557"/>
      <c r="F4" s="559"/>
      <c r="G4" s="559"/>
      <c r="H4" s="559"/>
      <c r="I4" s="560"/>
      <c r="J4" s="558"/>
      <c r="K4" s="558"/>
      <c r="L4" s="558"/>
      <c r="M4" s="558"/>
    </row>
    <row r="5" spans="2:10" s="554" customFormat="1" ht="3.75" customHeight="1">
      <c r="B5" s="556"/>
      <c r="C5" s="556"/>
      <c r="E5" s="556"/>
      <c r="F5" s="561"/>
      <c r="G5" s="561"/>
      <c r="H5" s="561"/>
      <c r="I5" s="562"/>
      <c r="J5" s="468"/>
    </row>
    <row r="6" spans="2:14" ht="12.75">
      <c r="B6" s="563" t="str">
        <f>Texte!A362</f>
        <v>Achtung: Die Berechnung basiert auf den Angaben des Bilanzblattes</v>
      </c>
      <c r="D6" s="564"/>
      <c r="M6" s="554"/>
      <c r="N6" s="554"/>
    </row>
    <row r="7" spans="2:14" ht="12.75"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468"/>
      <c r="M7" s="468"/>
      <c r="N7" s="554"/>
    </row>
    <row r="8" spans="1:14" ht="15.75">
      <c r="A8" s="140"/>
      <c r="B8" s="566" t="str">
        <f>Texte!A363</f>
        <v>Erklärungen</v>
      </c>
      <c r="C8" s="565"/>
      <c r="D8" s="565"/>
      <c r="E8" s="565"/>
      <c r="F8" s="565"/>
      <c r="G8" s="565"/>
      <c r="H8" s="565"/>
      <c r="I8" s="565"/>
      <c r="J8" s="565"/>
      <c r="K8" s="565"/>
      <c r="L8" s="468"/>
      <c r="M8" s="468"/>
      <c r="N8" s="554"/>
    </row>
    <row r="9" spans="2:14" ht="12.75">
      <c r="B9" s="567" t="str">
        <f>Texte!A364</f>
        <v>Falls die Bedingung der Kraftfutterrestriktion nicht erfüllt ist, stellt sich die Frage einer Verringerung des Kraftfuttereinsatzes</v>
      </c>
      <c r="C9" s="565"/>
      <c r="D9" s="565"/>
      <c r="E9" s="565"/>
      <c r="F9" s="565"/>
      <c r="G9" s="565"/>
      <c r="H9" s="565"/>
      <c r="I9" s="565"/>
      <c r="J9" s="565"/>
      <c r="K9" s="565"/>
      <c r="L9" s="468"/>
      <c r="M9" s="468"/>
      <c r="N9" s="554"/>
    </row>
    <row r="10" spans="1:11" ht="12.75">
      <c r="A10" s="140"/>
      <c r="B10" s="554" t="str">
        <f>Texte!A365</f>
        <v>Dieses Blatt zeigt die finanziellen Auswirkungen bei einer eventuellen Anpassung des Produktionssystems</v>
      </c>
      <c r="C10" s="565"/>
      <c r="D10" s="565"/>
      <c r="E10" s="565"/>
      <c r="F10" s="565"/>
      <c r="G10" s="565"/>
      <c r="H10" s="565"/>
      <c r="I10" s="565"/>
      <c r="J10" s="565"/>
      <c r="K10" s="565"/>
    </row>
    <row r="11" spans="1:11" ht="12.75">
      <c r="A11" s="140"/>
      <c r="B11" s="565"/>
      <c r="C11" s="565"/>
      <c r="D11" s="565"/>
      <c r="E11" s="565"/>
      <c r="F11" s="565"/>
      <c r="G11" s="565"/>
      <c r="H11" s="565"/>
      <c r="I11" s="565"/>
      <c r="J11" s="565"/>
      <c r="K11" s="565"/>
    </row>
    <row r="12" spans="1:11" ht="12.75">
      <c r="A12" s="140"/>
      <c r="B12" s="567" t="str">
        <f>Texte!A366</f>
        <v>Prüfen Sie auf dem Bilanz-Blatt, ob ihre Anpassung (Teil A) die Erfüllung der Bedingungen</v>
      </c>
      <c r="C12" s="565"/>
      <c r="D12" s="565"/>
      <c r="E12" s="565"/>
      <c r="F12" s="565"/>
      <c r="G12" s="565"/>
      <c r="H12" s="565"/>
      <c r="I12" s="565"/>
      <c r="J12" s="565"/>
      <c r="K12" s="565"/>
    </row>
    <row r="13" spans="1:11" ht="12.75">
      <c r="A13" s="140"/>
      <c r="B13" s="567" t="str">
        <f>Texte!A367</f>
        <v>von maximal 10% Kraftfutter (Teil D) bewirkt.</v>
      </c>
      <c r="C13" s="565"/>
      <c r="D13" s="565"/>
      <c r="E13" s="565"/>
      <c r="F13" s="565"/>
      <c r="G13" s="565"/>
      <c r="H13" s="565"/>
      <c r="I13" s="565"/>
      <c r="J13" s="565"/>
      <c r="K13" s="565"/>
    </row>
    <row r="15" spans="2:12" ht="3.75" customHeight="1"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</row>
    <row r="16" spans="2:12" ht="15.75">
      <c r="B16" s="566" t="str">
        <f>Texte!A368</f>
        <v>Milchproduktion</v>
      </c>
      <c r="C16" s="565"/>
      <c r="D16" s="565"/>
      <c r="E16" s="565"/>
      <c r="F16" s="565"/>
      <c r="G16" s="565"/>
      <c r="H16" s="565"/>
      <c r="I16" s="565"/>
      <c r="J16" s="565"/>
      <c r="K16" s="565"/>
      <c r="L16" s="565"/>
    </row>
    <row r="17" spans="2:12" ht="15.75">
      <c r="B17" s="566"/>
      <c r="C17" s="565"/>
      <c r="D17" s="565"/>
      <c r="E17" s="565"/>
      <c r="F17" s="565"/>
      <c r="G17" s="565"/>
      <c r="H17" s="565"/>
      <c r="I17" s="565"/>
      <c r="J17" s="565"/>
      <c r="K17" s="565"/>
      <c r="L17" s="565"/>
    </row>
    <row r="18" spans="2:12" ht="12.75">
      <c r="B18" s="468" t="str">
        <f>Texte!A369</f>
        <v>Mittlerer Herdendurchschnitt</v>
      </c>
      <c r="C18" s="565"/>
      <c r="D18" s="565"/>
      <c r="E18" s="565"/>
      <c r="F18" s="565"/>
      <c r="G18" s="568" t="s">
        <v>860</v>
      </c>
      <c r="H18" s="569">
        <f>IF('Bilanz-bilan'!E41&lt;&gt;0,'Bilanz-bilan'!E41,"")</f>
      </c>
      <c r="I18" s="567" t="str">
        <f>Texte!A380</f>
        <v>kg Milch/Kuh</v>
      </c>
      <c r="J18" s="565"/>
      <c r="K18" s="567"/>
      <c r="L18" s="565"/>
    </row>
    <row r="19" spans="2:12" ht="12.75">
      <c r="B19" s="567"/>
      <c r="C19" s="565"/>
      <c r="D19" s="565"/>
      <c r="E19" s="565"/>
      <c r="F19" s="565"/>
      <c r="G19" s="565"/>
      <c r="H19" s="565"/>
      <c r="I19" s="565"/>
      <c r="J19" s="565"/>
      <c r="K19" s="565"/>
      <c r="L19" s="565"/>
    </row>
    <row r="20" spans="1:12" ht="12.75">
      <c r="A20" s="565"/>
      <c r="B20" s="468" t="str">
        <f>Texte!A370</f>
        <v>Angestrebte Milchleistung nach Anpassung</v>
      </c>
      <c r="C20" s="565"/>
      <c r="D20" s="565"/>
      <c r="E20" s="565"/>
      <c r="F20" s="565"/>
      <c r="G20" s="568" t="s">
        <v>860</v>
      </c>
      <c r="H20" s="570"/>
      <c r="I20" s="567" t="str">
        <f>Texte!A380</f>
        <v>kg Milch/Kuh</v>
      </c>
      <c r="J20" s="565"/>
      <c r="K20" s="567"/>
      <c r="L20" s="565"/>
    </row>
    <row r="21" spans="1:4" ht="12.75">
      <c r="A21" s="565"/>
      <c r="B21" s="565"/>
      <c r="D21" s="564"/>
    </row>
    <row r="22" spans="1:13" ht="12.75">
      <c r="A22" s="565"/>
      <c r="B22" s="468" t="str">
        <f>Texte!A371</f>
        <v>Anzahl Kühe</v>
      </c>
      <c r="D22" s="564"/>
      <c r="H22" s="571">
        <f>IF('Bilanz-bilan'!E41&lt;&gt;0,'Bilanz-bilan'!G41,"")</f>
      </c>
      <c r="I22" s="554" t="str">
        <f>Texte!A381</f>
        <v>Kühe</v>
      </c>
      <c r="K22" s="572"/>
      <c r="L22" s="573"/>
      <c r="M22" s="574"/>
    </row>
    <row r="23" spans="1:13" ht="3.75" customHeight="1">
      <c r="A23" s="565"/>
      <c r="B23" s="565"/>
      <c r="C23" s="565"/>
      <c r="D23" s="565"/>
      <c r="E23" s="565"/>
      <c r="F23" s="565"/>
      <c r="G23" s="565"/>
      <c r="K23" s="573"/>
      <c r="L23" s="573"/>
      <c r="M23" s="574"/>
    </row>
    <row r="24" spans="1:13" ht="15.75">
      <c r="A24" s="565"/>
      <c r="B24" s="566" t="str">
        <f>Texte!A372</f>
        <v>Auswirkungen auf die Mengen</v>
      </c>
      <c r="D24" s="564"/>
      <c r="E24" s="565"/>
      <c r="F24" s="565"/>
      <c r="G24" s="565"/>
      <c r="H24" s="565"/>
      <c r="K24" s="573"/>
      <c r="L24" s="573"/>
      <c r="M24" s="574"/>
    </row>
    <row r="25" spans="1:13" ht="15.75">
      <c r="A25" s="565"/>
      <c r="B25" s="566"/>
      <c r="D25" s="564"/>
      <c r="E25" s="565"/>
      <c r="F25" s="565"/>
      <c r="G25" s="565"/>
      <c r="H25" s="565"/>
      <c r="K25" s="573"/>
      <c r="L25" s="573"/>
      <c r="M25" s="574"/>
    </row>
    <row r="26" spans="1:13" ht="12.75">
      <c r="A26" s="565"/>
      <c r="B26" s="468" t="str">
        <f>Texte!A373</f>
        <v>Verringerung der Milchproduktion total</v>
      </c>
      <c r="C26" s="565"/>
      <c r="D26" s="565"/>
      <c r="E26" s="565"/>
      <c r="F26" s="565"/>
      <c r="G26" s="565"/>
      <c r="H26" s="575">
        <f>IF(H20=0,"",(H20-H18)*H22)</f>
      </c>
      <c r="I26" s="554" t="str">
        <f>Texte!A382</f>
        <v>kg Milch</v>
      </c>
      <c r="K26" s="573"/>
      <c r="L26" s="573"/>
      <c r="M26" s="574"/>
    </row>
    <row r="27" spans="1:13" ht="12.75">
      <c r="A27" s="565"/>
      <c r="B27" s="565"/>
      <c r="C27" s="565"/>
      <c r="D27" s="565"/>
      <c r="E27" s="565"/>
      <c r="F27" s="565"/>
      <c r="G27" s="565"/>
      <c r="H27" s="576"/>
      <c r="I27" s="565"/>
      <c r="J27" s="565"/>
      <c r="K27" s="574"/>
      <c r="L27" s="573"/>
      <c r="M27" s="574"/>
    </row>
    <row r="28" spans="1:13" ht="12.75">
      <c r="A28" s="565"/>
      <c r="B28" s="567" t="str">
        <f>Texte!A374</f>
        <v>Reduktion des Kraftfuttereinsatzes pro Kuh</v>
      </c>
      <c r="C28" s="565"/>
      <c r="D28" s="565"/>
      <c r="G28" s="565"/>
      <c r="H28" s="570"/>
      <c r="I28" s="567" t="str">
        <f>Texte!A383</f>
        <v>kg KF/Kuh</v>
      </c>
      <c r="J28" s="565"/>
      <c r="K28" s="572" t="str">
        <f>Texte!A388</f>
        <v>siehe Erklärung*</v>
      </c>
      <c r="L28" s="574"/>
      <c r="M28" s="574"/>
    </row>
    <row r="29" spans="1:13" ht="3.75" customHeight="1">
      <c r="A29" s="577"/>
      <c r="B29" s="565"/>
      <c r="C29" s="565"/>
      <c r="D29" s="565"/>
      <c r="E29" s="565"/>
      <c r="F29" s="565"/>
      <c r="G29" s="565"/>
      <c r="H29" s="578"/>
      <c r="I29" s="565"/>
      <c r="J29" s="565"/>
      <c r="K29" s="574"/>
      <c r="L29" s="573"/>
      <c r="M29" s="574"/>
    </row>
    <row r="30" spans="2:13" ht="15.75">
      <c r="B30" s="566" t="str">
        <f>Texte!A375</f>
        <v>Auswirkungen auf die Wirtschaftlichkeit</v>
      </c>
      <c r="C30" s="565"/>
      <c r="D30" s="565"/>
      <c r="E30" s="565"/>
      <c r="F30" s="565"/>
      <c r="G30" s="565"/>
      <c r="H30" s="578"/>
      <c r="I30" s="565"/>
      <c r="J30" s="579" t="str">
        <f>Texte!A389</f>
        <v>Preis</v>
      </c>
      <c r="K30" s="574"/>
      <c r="L30" s="573"/>
      <c r="M30" s="574"/>
    </row>
    <row r="31" spans="1:11" ht="12.75">
      <c r="A31" s="440"/>
      <c r="B31" s="565"/>
      <c r="C31" s="565"/>
      <c r="D31" s="565"/>
      <c r="E31" s="565"/>
      <c r="F31" s="565"/>
      <c r="G31" s="565"/>
      <c r="H31" s="578"/>
      <c r="I31" s="565"/>
      <c r="J31" s="565"/>
      <c r="K31" s="565"/>
    </row>
    <row r="32" spans="1:11" ht="12.75">
      <c r="A32" s="440"/>
      <c r="B32" s="468" t="str">
        <f>Texte!A376</f>
        <v>Mindereinnahmen Milch</v>
      </c>
      <c r="C32" s="565"/>
      <c r="D32" s="565"/>
      <c r="E32" s="565"/>
      <c r="F32" s="565"/>
      <c r="G32" s="565"/>
      <c r="H32" s="569">
        <f>IF('Bilanz-bilan'!E41&lt;&gt;0,H26*J32/100,"")</f>
      </c>
      <c r="I32" s="565" t="str">
        <f>Texte!A384</f>
        <v>Fr.</v>
      </c>
      <c r="J32" s="570">
        <v>55</v>
      </c>
      <c r="K32" s="567" t="str">
        <f>Texte!A385</f>
        <v>Rp/kg</v>
      </c>
    </row>
    <row r="33" spans="1:11" ht="12.75">
      <c r="A33" s="440"/>
      <c r="B33" s="565"/>
      <c r="C33" s="565"/>
      <c r="D33" s="565"/>
      <c r="E33" s="565"/>
      <c r="F33" s="565"/>
      <c r="G33" s="565"/>
      <c r="H33" s="580"/>
      <c r="I33" s="565"/>
      <c r="J33" s="565"/>
      <c r="K33" s="565"/>
    </row>
    <row r="34" spans="1:11" ht="12.75">
      <c r="A34" s="440"/>
      <c r="B34" s="565" t="str">
        <f>Texte!A377</f>
        <v>Einsparung Kraftfutterkosten</v>
      </c>
      <c r="C34" s="565"/>
      <c r="D34" s="565"/>
      <c r="E34" s="565"/>
      <c r="F34" s="565"/>
      <c r="G34" s="565"/>
      <c r="H34" s="569">
        <f>IF('Bilanz-bilan'!E41&lt;&gt;0,H22*H28*J34/100,"")</f>
      </c>
      <c r="I34" s="565" t="str">
        <f>Texte!A384</f>
        <v>Fr.</v>
      </c>
      <c r="J34" s="570">
        <v>65</v>
      </c>
      <c r="K34" s="567" t="str">
        <f>Texte!A386</f>
        <v>Fr./dt</v>
      </c>
    </row>
    <row r="35" spans="1:11" ht="12.75">
      <c r="A35" s="440"/>
      <c r="B35" s="565"/>
      <c r="C35" s="565"/>
      <c r="D35" s="565"/>
      <c r="E35" s="565"/>
      <c r="F35" s="565"/>
      <c r="G35" s="565"/>
      <c r="H35" s="580"/>
      <c r="I35" s="565"/>
      <c r="J35" s="565"/>
      <c r="K35" s="565"/>
    </row>
    <row r="36" spans="1:11" ht="12.75">
      <c r="A36" s="440"/>
      <c r="B36" s="565" t="str">
        <f>Texte!A378</f>
        <v>Beiträge GMF</v>
      </c>
      <c r="C36" s="565"/>
      <c r="D36" s="565"/>
      <c r="E36" s="565"/>
      <c r="F36" s="565"/>
      <c r="G36" s="565"/>
      <c r="H36" s="569">
        <f>IF('Bilanz-bilan'!J107=0,"",J36*'Bilanz-bilan'!J107)</f>
      </c>
      <c r="I36" s="565" t="str">
        <f>Texte!A384</f>
        <v>Fr.</v>
      </c>
      <c r="J36" s="570">
        <v>200</v>
      </c>
      <c r="K36" s="565" t="str">
        <f>Texte!A387</f>
        <v>Fr./ha</v>
      </c>
    </row>
    <row r="37" spans="1:11" ht="3.75" customHeight="1" thickBot="1">
      <c r="A37" s="440"/>
      <c r="B37" s="565"/>
      <c r="C37" s="565"/>
      <c r="D37" s="565"/>
      <c r="E37" s="565"/>
      <c r="F37" s="565"/>
      <c r="G37" s="565"/>
      <c r="H37" s="578"/>
      <c r="I37" s="565"/>
      <c r="J37" s="565"/>
      <c r="K37" s="565"/>
    </row>
    <row r="38" spans="1:11" ht="16.5" thickBot="1">
      <c r="A38" s="440"/>
      <c r="B38" s="566" t="str">
        <f>Texte!A379</f>
        <v>Bilanz</v>
      </c>
      <c r="C38" s="565"/>
      <c r="D38" s="565"/>
      <c r="E38" s="565"/>
      <c r="F38" s="565"/>
      <c r="G38" s="565"/>
      <c r="H38" s="581">
        <f>IF('Bilanz-bilan'!E41&lt;&gt;0,SUM(H32:H36),"")</f>
      </c>
      <c r="I38" s="565" t="str">
        <f>Texte!A384</f>
        <v>Fr.</v>
      </c>
      <c r="J38" s="565"/>
      <c r="K38" s="565"/>
    </row>
    <row r="39" spans="1:11" ht="12.75">
      <c r="A39" s="440"/>
      <c r="B39" s="565"/>
      <c r="C39" s="565"/>
      <c r="D39" s="565"/>
      <c r="E39" s="565"/>
      <c r="F39" s="565"/>
      <c r="G39" s="565"/>
      <c r="H39" s="578"/>
      <c r="I39" s="565"/>
      <c r="J39" s="565"/>
      <c r="K39" s="565"/>
    </row>
    <row r="40" spans="1:11" ht="12.75">
      <c r="A40" s="140"/>
      <c r="B40" s="582"/>
      <c r="C40" s="565"/>
      <c r="D40" s="565"/>
      <c r="E40" s="565"/>
      <c r="F40" s="565"/>
      <c r="G40" s="565"/>
      <c r="H40" s="565"/>
      <c r="I40" s="565"/>
      <c r="J40" s="565"/>
      <c r="K40" s="565"/>
    </row>
    <row r="41" spans="1:11" ht="12.75">
      <c r="A41" s="140"/>
      <c r="B41" s="565"/>
      <c r="C41" s="565"/>
      <c r="D41" s="565"/>
      <c r="E41" s="565"/>
      <c r="F41" s="565"/>
      <c r="G41" s="565"/>
      <c r="H41" s="565"/>
      <c r="I41" s="565"/>
      <c r="J41" s="565"/>
      <c r="K41" s="565"/>
    </row>
    <row r="42" spans="2:13" ht="12.75">
      <c r="B42" s="573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4"/>
    </row>
    <row r="43" spans="2:13" ht="12.75">
      <c r="B43" s="583" t="str">
        <f>Texte!A390</f>
        <v>Kraftfutterreduktion</v>
      </c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4"/>
    </row>
    <row r="44" spans="2:13" ht="12.75">
      <c r="B44" s="573" t="str">
        <f>Texte!A391</f>
        <v>Reduzierte Milchleistung dividiert durch das MPP des KF ergibt eingesparte Kraftfuttermenge</v>
      </c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4"/>
    </row>
    <row r="45" spans="2:13" ht="12.75">
      <c r="B45" s="573" t="str">
        <f>Texte!A392</f>
        <v>Annahme Milchleistungspotential = 2 kg Milch pro kg Kraftfutter*</v>
      </c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4"/>
    </row>
    <row r="46" spans="2:13" ht="12.75">
      <c r="B46" s="583" t="str">
        <f>Texte!A393</f>
        <v>Beispiel:</v>
      </c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4"/>
    </row>
    <row r="47" spans="1:13" ht="12.75">
      <c r="A47" s="140"/>
      <c r="B47" s="573" t="str">
        <f>Texte!A394</f>
        <v>500 kg Milchleistungsreduktion / 2 (MPP KF) = 250 kg Kraftfuttereinsparung</v>
      </c>
      <c r="C47" s="573"/>
      <c r="D47" s="573"/>
      <c r="E47" s="573"/>
      <c r="F47" s="573"/>
      <c r="G47" s="584"/>
      <c r="H47" s="584"/>
      <c r="I47" s="584"/>
      <c r="J47" s="573"/>
      <c r="K47" s="573"/>
      <c r="L47" s="573"/>
      <c r="M47" s="574"/>
    </row>
    <row r="48" spans="1:13" ht="12.75">
      <c r="A48" s="140"/>
      <c r="B48" s="573" t="str">
        <f>Texte!A395</f>
        <v>*Hinweis: die tatsächliche Milchleistungsänderung pro kg Kraftfuttereinsatz oder -einsparung</v>
      </c>
      <c r="C48" s="573"/>
      <c r="D48" s="573"/>
      <c r="E48" s="573"/>
      <c r="F48" s="573"/>
      <c r="G48" s="584"/>
      <c r="H48" s="584"/>
      <c r="I48" s="584"/>
      <c r="J48" s="573"/>
      <c r="K48" s="573"/>
      <c r="L48" s="573"/>
      <c r="M48" s="574"/>
    </row>
    <row r="49" spans="1:13" ht="12.75">
      <c r="A49" s="140"/>
      <c r="B49" s="573" t="str">
        <f>Texte!A396</f>
        <v>kann je nach Rationszusammensetzung variieren zwischen ca. 1 und 3</v>
      </c>
      <c r="C49" s="573"/>
      <c r="D49" s="573"/>
      <c r="E49" s="573"/>
      <c r="F49" s="573"/>
      <c r="G49" s="584"/>
      <c r="H49" s="584"/>
      <c r="I49" s="584"/>
      <c r="J49" s="573"/>
      <c r="K49" s="573"/>
      <c r="L49" s="573"/>
      <c r="M49" s="574"/>
    </row>
    <row r="50" spans="1:13" ht="12.75">
      <c r="A50" s="140"/>
      <c r="C50" s="573"/>
      <c r="D50" s="573"/>
      <c r="E50" s="573"/>
      <c r="F50" s="573"/>
      <c r="G50" s="584"/>
      <c r="H50" s="584"/>
      <c r="I50" s="584"/>
      <c r="J50" s="573"/>
      <c r="K50" s="573"/>
      <c r="L50" s="573"/>
      <c r="M50" s="574"/>
    </row>
    <row r="51" spans="1:13" ht="12.75">
      <c r="A51" s="140"/>
      <c r="C51" s="573"/>
      <c r="D51" s="573"/>
      <c r="E51" s="573"/>
      <c r="F51" s="573"/>
      <c r="G51" s="584"/>
      <c r="H51" s="584"/>
      <c r="I51" s="584"/>
      <c r="J51" s="573"/>
      <c r="K51" s="573"/>
      <c r="L51" s="573"/>
      <c r="M51" s="574"/>
    </row>
    <row r="52" spans="1:13" ht="12.75">
      <c r="A52" s="140"/>
      <c r="C52" s="573"/>
      <c r="D52" s="573"/>
      <c r="E52" s="573"/>
      <c r="F52" s="573"/>
      <c r="G52" s="584"/>
      <c r="H52" s="584"/>
      <c r="I52" s="584"/>
      <c r="J52" s="573"/>
      <c r="K52" s="573"/>
      <c r="L52" s="573"/>
      <c r="M52" s="574"/>
    </row>
    <row r="53" spans="1:13" ht="12.75">
      <c r="A53" s="140"/>
      <c r="B53" s="573"/>
      <c r="C53" s="573"/>
      <c r="D53" s="573"/>
      <c r="E53" s="573"/>
      <c r="F53" s="573"/>
      <c r="G53" s="584"/>
      <c r="H53" s="584"/>
      <c r="I53" s="584"/>
      <c r="J53" s="573"/>
      <c r="K53" s="573"/>
      <c r="L53" s="573"/>
      <c r="M53" s="574"/>
    </row>
    <row r="54" spans="1:13" ht="12.75">
      <c r="A54" s="140"/>
      <c r="B54" s="573"/>
      <c r="C54" s="573"/>
      <c r="D54" s="573"/>
      <c r="E54" s="573"/>
      <c r="F54" s="573"/>
      <c r="G54" s="584"/>
      <c r="H54" s="584"/>
      <c r="I54" s="584"/>
      <c r="J54" s="573"/>
      <c r="K54" s="573"/>
      <c r="L54" s="573"/>
      <c r="M54" s="574"/>
    </row>
    <row r="55" spans="1:13" ht="12.75">
      <c r="A55" s="140"/>
      <c r="B55" s="573"/>
      <c r="C55" s="573"/>
      <c r="D55" s="573"/>
      <c r="E55" s="573"/>
      <c r="F55" s="573"/>
      <c r="G55" s="584"/>
      <c r="H55" s="584"/>
      <c r="I55" s="584"/>
      <c r="J55" s="573"/>
      <c r="K55" s="573"/>
      <c r="L55" s="573"/>
      <c r="M55" s="574"/>
    </row>
    <row r="56" spans="1:13" ht="12.75">
      <c r="A56" s="140"/>
      <c r="B56" s="573"/>
      <c r="C56" s="573"/>
      <c r="D56" s="573"/>
      <c r="E56" s="573"/>
      <c r="F56" s="573"/>
      <c r="G56" s="584"/>
      <c r="H56" s="584"/>
      <c r="I56" s="584"/>
      <c r="J56" s="573"/>
      <c r="K56" s="573"/>
      <c r="L56" s="573"/>
      <c r="M56" s="574"/>
    </row>
    <row r="57" spans="1:13" ht="12.75">
      <c r="A57" s="140"/>
      <c r="B57" s="573"/>
      <c r="C57" s="573"/>
      <c r="D57" s="573"/>
      <c r="E57" s="573"/>
      <c r="F57" s="573"/>
      <c r="G57" s="584"/>
      <c r="H57" s="584"/>
      <c r="I57" s="584"/>
      <c r="J57" s="573"/>
      <c r="K57" s="573"/>
      <c r="L57" s="573"/>
      <c r="M57" s="574"/>
    </row>
    <row r="58" spans="1:13" ht="12.75">
      <c r="A58" s="140"/>
      <c r="B58" s="573"/>
      <c r="C58" s="573"/>
      <c r="D58" s="573"/>
      <c r="E58" s="573"/>
      <c r="F58" s="573"/>
      <c r="G58" s="584"/>
      <c r="H58" s="584"/>
      <c r="I58" s="584"/>
      <c r="J58" s="573"/>
      <c r="K58" s="573"/>
      <c r="L58" s="573"/>
      <c r="M58" s="574"/>
    </row>
    <row r="59" spans="1:13" ht="12.75">
      <c r="A59" s="140"/>
      <c r="B59" s="573"/>
      <c r="C59" s="573"/>
      <c r="D59" s="573"/>
      <c r="E59" s="573"/>
      <c r="F59" s="573"/>
      <c r="G59" s="584"/>
      <c r="H59" s="584"/>
      <c r="I59" s="584"/>
      <c r="J59" s="573"/>
      <c r="K59" s="573"/>
      <c r="L59" s="573"/>
      <c r="M59" s="574"/>
    </row>
    <row r="60" spans="1:9" ht="12.75">
      <c r="A60" s="140"/>
      <c r="B60" s="584"/>
      <c r="C60" s="584"/>
      <c r="D60" s="584"/>
      <c r="E60" s="584"/>
      <c r="F60" s="584"/>
      <c r="G60" s="584"/>
      <c r="H60" s="584"/>
      <c r="I60" s="584"/>
    </row>
    <row r="61" spans="1:9" ht="12.75">
      <c r="A61" s="140"/>
      <c r="B61" s="584"/>
      <c r="C61" s="584"/>
      <c r="D61" s="584"/>
      <c r="E61" s="584"/>
      <c r="F61" s="584"/>
      <c r="G61" s="584"/>
      <c r="H61" s="584"/>
      <c r="I61" s="584"/>
    </row>
    <row r="62" spans="1:9" ht="12.75">
      <c r="A62" s="140"/>
      <c r="B62" s="584"/>
      <c r="C62" s="584"/>
      <c r="D62" s="584"/>
      <c r="E62" s="584"/>
      <c r="F62" s="584"/>
      <c r="G62" s="584"/>
      <c r="H62" s="584"/>
      <c r="I62" s="584"/>
    </row>
    <row r="63" spans="1:9" ht="12.75">
      <c r="A63" s="140"/>
      <c r="B63" s="584"/>
      <c r="C63" s="584"/>
      <c r="D63" s="584"/>
      <c r="E63" s="584"/>
      <c r="F63" s="584"/>
      <c r="G63" s="584"/>
      <c r="H63" s="584"/>
      <c r="I63" s="584"/>
    </row>
    <row r="64" spans="1:9" ht="12.75">
      <c r="A64" s="140"/>
      <c r="B64" s="584"/>
      <c r="C64" s="584"/>
      <c r="D64" s="584"/>
      <c r="E64" s="584"/>
      <c r="F64" s="584"/>
      <c r="G64" s="584"/>
      <c r="H64" s="584"/>
      <c r="I64" s="584"/>
    </row>
    <row r="65" spans="1:9" ht="12.75">
      <c r="A65" s="140"/>
      <c r="B65" s="584"/>
      <c r="C65" s="584"/>
      <c r="D65" s="584"/>
      <c r="E65" s="584"/>
      <c r="F65" s="584"/>
      <c r="G65" s="584"/>
      <c r="H65" s="584"/>
      <c r="I65" s="584"/>
    </row>
    <row r="66" spans="1:9" ht="12.75">
      <c r="A66" s="140"/>
      <c r="B66" s="584"/>
      <c r="C66" s="584"/>
      <c r="D66" s="584"/>
      <c r="E66" s="584"/>
      <c r="F66" s="584"/>
      <c r="G66" s="584"/>
      <c r="H66" s="584"/>
      <c r="I66" s="584"/>
    </row>
    <row r="67" spans="1:9" ht="12.75">
      <c r="A67" s="140"/>
      <c r="B67" s="584"/>
      <c r="C67" s="584"/>
      <c r="D67" s="584"/>
      <c r="E67" s="584"/>
      <c r="F67" s="584"/>
      <c r="G67" s="584"/>
      <c r="H67" s="584"/>
      <c r="I67" s="584"/>
    </row>
    <row r="68" spans="1:9" ht="12.75">
      <c r="A68" s="140"/>
      <c r="B68" s="584"/>
      <c r="C68" s="584"/>
      <c r="D68" s="584"/>
      <c r="E68" s="584"/>
      <c r="F68" s="584"/>
      <c r="G68" s="584"/>
      <c r="H68" s="584"/>
      <c r="I68" s="584"/>
    </row>
    <row r="69" spans="1:9" ht="12.75">
      <c r="A69" s="140"/>
      <c r="B69" s="584"/>
      <c r="C69" s="584"/>
      <c r="D69" s="584"/>
      <c r="E69" s="584"/>
      <c r="F69" s="584"/>
      <c r="G69" s="584"/>
      <c r="H69" s="584"/>
      <c r="I69" s="584"/>
    </row>
    <row r="70" spans="1:9" ht="12.75">
      <c r="A70" s="140"/>
      <c r="B70" s="584"/>
      <c r="C70" s="584"/>
      <c r="D70" s="584"/>
      <c r="E70" s="584"/>
      <c r="F70" s="584"/>
      <c r="G70" s="584"/>
      <c r="H70" s="584"/>
      <c r="I70" s="584"/>
    </row>
    <row r="71" spans="1:9" ht="12.75">
      <c r="A71" s="140"/>
      <c r="B71" s="584"/>
      <c r="C71" s="584"/>
      <c r="D71" s="584"/>
      <c r="E71" s="584"/>
      <c r="F71" s="584"/>
      <c r="G71" s="584"/>
      <c r="H71" s="584"/>
      <c r="I71" s="584"/>
    </row>
  </sheetData>
  <sheetProtection/>
  <printOptions/>
  <pageMargins left="0.787401575" right="0.54" top="0.61" bottom="0.52" header="0.23" footer="0.28"/>
  <pageSetup fitToHeight="1" fitToWidth="1" horizontalDpi="600" verticalDpi="600" orientation="portrait" paperSize="9" scale="84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6"/>
  <sheetViews>
    <sheetView zoomScalePageLayoutView="0" workbookViewId="0" topLeftCell="A7">
      <selection activeCell="C15" sqref="C15:I15"/>
    </sheetView>
  </sheetViews>
  <sheetFormatPr defaultColWidth="42.140625" defaultRowHeight="12.75"/>
  <cols>
    <col min="1" max="1" width="43.28125" style="7" customWidth="1"/>
    <col min="2" max="2" width="42.140625" style="7" customWidth="1"/>
    <col min="3" max="3" width="43.421875" style="7" customWidth="1"/>
    <col min="4" max="16384" width="42.140625" style="7" customWidth="1"/>
  </cols>
  <sheetData>
    <row r="1" ht="12.75">
      <c r="A1" s="7" t="s">
        <v>1132</v>
      </c>
    </row>
    <row r="2" ht="12.75">
      <c r="A2" s="113">
        <f>VLOOKUP(README!C9,README!N9:O11,2)</f>
        <v>1</v>
      </c>
    </row>
    <row r="3" spans="2:4" ht="12.75">
      <c r="B3" s="111" t="s">
        <v>1133</v>
      </c>
      <c r="C3" s="111" t="s">
        <v>1134</v>
      </c>
      <c r="D3" s="111" t="s">
        <v>1135</v>
      </c>
    </row>
    <row r="4" spans="1:4" s="111" customFormat="1" ht="12.75">
      <c r="A4" s="111" t="str">
        <f>IF($A$2=1,B4,IF($A$2=2,C4,IF($A$2=3,D4,"")))</f>
        <v>Anleitung</v>
      </c>
      <c r="B4" s="111" t="s">
        <v>1044</v>
      </c>
      <c r="C4" s="111" t="s">
        <v>1117</v>
      </c>
      <c r="D4" s="475" t="s">
        <v>316</v>
      </c>
    </row>
    <row r="5" spans="1:4" ht="12.75">
      <c r="A5" s="112" t="str">
        <f aca="true" t="shared" si="0" ref="A5:A68">IF($A$2=1,B5,IF($A$2=2,C5,IF($A$2=3,D5,"")))</f>
        <v>GMF</v>
      </c>
      <c r="B5" s="7" t="s">
        <v>104</v>
      </c>
      <c r="C5" s="7" t="s">
        <v>29</v>
      </c>
      <c r="D5" s="476" t="s">
        <v>317</v>
      </c>
    </row>
    <row r="6" spans="1:4" ht="12.75">
      <c r="A6" s="112" t="str">
        <f t="shared" si="0"/>
        <v>Version: 1.3</v>
      </c>
      <c r="B6" s="7" t="s">
        <v>223</v>
      </c>
      <c r="C6" s="7" t="s">
        <v>224</v>
      </c>
      <c r="D6" s="476" t="s">
        <v>225</v>
      </c>
    </row>
    <row r="7" spans="1:4" ht="12.75">
      <c r="A7" s="112" t="str">
        <f t="shared" si="0"/>
        <v>dazugehörende Suisse-Bilanz Aufl. 1.12, Juli 2014</v>
      </c>
      <c r="B7" s="7" t="s">
        <v>226</v>
      </c>
      <c r="C7" s="510" t="s">
        <v>228</v>
      </c>
      <c r="D7" s="510" t="s">
        <v>227</v>
      </c>
    </row>
    <row r="8" spans="1:4" ht="12.75">
      <c r="A8" s="112">
        <f t="shared" si="0"/>
        <v>0</v>
      </c>
      <c r="D8" s="155"/>
    </row>
    <row r="9" spans="1:4" ht="12.75">
      <c r="A9" s="112" t="str">
        <f t="shared" si="0"/>
        <v>Sprache:</v>
      </c>
      <c r="B9" s="7" t="s">
        <v>1136</v>
      </c>
      <c r="C9" s="7" t="s">
        <v>1137</v>
      </c>
      <c r="D9" s="476" t="s">
        <v>1138</v>
      </c>
    </row>
    <row r="10" spans="1:4" ht="12.75">
      <c r="A10" s="112" t="str">
        <f t="shared" si="0"/>
        <v>Anleitung</v>
      </c>
      <c r="B10" s="7" t="s">
        <v>1044</v>
      </c>
      <c r="C10" s="7" t="s">
        <v>1117</v>
      </c>
      <c r="D10" s="476" t="s">
        <v>316</v>
      </c>
    </row>
    <row r="11" spans="1:4" ht="12.75">
      <c r="A11" s="112" t="str">
        <f t="shared" si="0"/>
        <v>grüne Zellen:</v>
      </c>
      <c r="B11" s="7" t="s">
        <v>1050</v>
      </c>
      <c r="C11" s="7" t="s">
        <v>1118</v>
      </c>
      <c r="D11" s="476" t="s">
        <v>538</v>
      </c>
    </row>
    <row r="12" spans="1:4" ht="12.75">
      <c r="A12" s="112" t="str">
        <f t="shared" si="0"/>
        <v>gelbe Zeilen:</v>
      </c>
      <c r="B12" s="7" t="s">
        <v>1051</v>
      </c>
      <c r="C12" s="7" t="s">
        <v>1119</v>
      </c>
      <c r="D12" s="476" t="s">
        <v>539</v>
      </c>
    </row>
    <row r="13" spans="1:4" ht="12.75">
      <c r="A13" s="112" t="str">
        <f t="shared" si="0"/>
        <v>weisse Zellen: </v>
      </c>
      <c r="B13" s="7" t="s">
        <v>1052</v>
      </c>
      <c r="C13" s="7" t="s">
        <v>970</v>
      </c>
      <c r="D13" s="476" t="s">
        <v>540</v>
      </c>
    </row>
    <row r="14" spans="1:4" ht="12.75">
      <c r="A14" s="112" t="str">
        <f t="shared" si="0"/>
        <v>Auswahllisten</v>
      </c>
      <c r="B14" s="7" t="s">
        <v>972</v>
      </c>
      <c r="C14" s="7" t="s">
        <v>971</v>
      </c>
      <c r="D14" s="476" t="s">
        <v>318</v>
      </c>
    </row>
    <row r="15" spans="1:4" ht="12.75">
      <c r="A15" s="112" t="str">
        <f t="shared" si="0"/>
        <v>zur Dateneingabe</v>
      </c>
      <c r="B15" s="7" t="s">
        <v>1116</v>
      </c>
      <c r="C15" s="7" t="s">
        <v>973</v>
      </c>
      <c r="D15" s="476" t="s">
        <v>319</v>
      </c>
    </row>
    <row r="16" spans="1:4" ht="12.75">
      <c r="A16" s="112" t="str">
        <f t="shared" si="0"/>
        <v>gesperrte Zellen</v>
      </c>
      <c r="B16" s="7" t="s">
        <v>1053</v>
      </c>
      <c r="C16" s="7" t="s">
        <v>974</v>
      </c>
      <c r="D16" s="476" t="s">
        <v>320</v>
      </c>
    </row>
    <row r="17" spans="1:4" ht="12.75">
      <c r="A17" s="112" t="str">
        <f t="shared" si="0"/>
        <v>Vorgehen:</v>
      </c>
      <c r="B17" s="7" t="s">
        <v>1054</v>
      </c>
      <c r="C17" s="112" t="s">
        <v>185</v>
      </c>
      <c r="D17" s="476" t="s">
        <v>544</v>
      </c>
    </row>
    <row r="18" spans="1:4" ht="12.75">
      <c r="A18" s="112" t="str">
        <f t="shared" si="0"/>
        <v>Grundsatz: Übereinstimmung mit Suisse-Bilanz muss sein</v>
      </c>
      <c r="B18" s="7" t="s">
        <v>1066</v>
      </c>
      <c r="C18" s="112" t="s">
        <v>186</v>
      </c>
      <c r="D18" s="476" t="s">
        <v>321</v>
      </c>
    </row>
    <row r="19" spans="1:4" ht="12.75">
      <c r="A19" s="112" t="str">
        <f t="shared" si="0"/>
        <v>1. Betriebsangaben ausfüllen, insbesondere die "Gebietszuteilung"</v>
      </c>
      <c r="B19" s="7" t="s">
        <v>641</v>
      </c>
      <c r="C19" s="112" t="s">
        <v>642</v>
      </c>
      <c r="D19" s="476" t="s">
        <v>643</v>
      </c>
    </row>
    <row r="20" spans="1:4" ht="12.75">
      <c r="A20" s="112" t="str">
        <f t="shared" si="0"/>
        <v>2. Teil A: Grund- und Kraftfutterverzehr</v>
      </c>
      <c r="B20" s="112" t="s">
        <v>655</v>
      </c>
      <c r="C20" s="112" t="s">
        <v>656</v>
      </c>
      <c r="D20" s="476" t="s">
        <v>657</v>
      </c>
    </row>
    <row r="21" spans="1:4" ht="12.75">
      <c r="A21" s="112" t="str">
        <f t="shared" si="0"/>
        <v>    - Alle Tierarten mit Grundfutterverzehr erfassen</v>
      </c>
      <c r="B21" s="155" t="s">
        <v>670</v>
      </c>
      <c r="C21" s="112" t="s">
        <v>671</v>
      </c>
      <c r="D21" s="598" t="s">
        <v>458</v>
      </c>
    </row>
    <row r="22" spans="1:4" ht="12.75">
      <c r="A22" s="112" t="str">
        <f t="shared" si="0"/>
        <v>    - Pro Tierkategorie die Gesamtmenge Kraftfutter, die auf</v>
      </c>
      <c r="B22" s="7" t="s">
        <v>597</v>
      </c>
      <c r="C22" s="112" t="s">
        <v>594</v>
      </c>
      <c r="D22" s="598" t="s">
        <v>595</v>
      </c>
    </row>
    <row r="23" spans="1:4" ht="12.75">
      <c r="A23" s="112" t="str">
        <f t="shared" si="0"/>
        <v>      dem Ganzjahresbetrieb verfüttert wird, erfassen.</v>
      </c>
      <c r="B23" s="96" t="s">
        <v>599</v>
      </c>
      <c r="C23" s="112" t="s">
        <v>598</v>
      </c>
      <c r="D23" s="598" t="s">
        <v>596</v>
      </c>
    </row>
    <row r="24" spans="1:4" ht="12.75">
      <c r="A24" s="112" t="str">
        <f t="shared" si="0"/>
        <v>    - Sömmerung: bei den Tierzahlen müssen die Anzahl gesömmerte Tiere (positiv) </v>
      </c>
      <c r="B24" s="626" t="s">
        <v>691</v>
      </c>
      <c r="C24" s="632" t="s">
        <v>713</v>
      </c>
      <c r="D24" s="631" t="s">
        <v>459</v>
      </c>
    </row>
    <row r="25" spans="1:4" ht="12.75">
      <c r="A25" s="112" t="str">
        <f t="shared" si="0"/>
        <v>      und die Tage Sömmerung separat erfasst werden.</v>
      </c>
      <c r="B25" s="626" t="s">
        <v>693</v>
      </c>
      <c r="C25" s="112" t="s">
        <v>692</v>
      </c>
      <c r="D25" s="598" t="s">
        <v>460</v>
      </c>
    </row>
    <row r="26" spans="1:4" ht="12.75">
      <c r="A26" s="112" t="str">
        <f t="shared" si="0"/>
        <v>    - KF-Verzehr während Sömmerung nur möglich für gemolkene Tiere folgender Kategorien: Milchkühe,</v>
      </c>
      <c r="B26" s="510" t="s">
        <v>708</v>
      </c>
      <c r="C26" s="112" t="s">
        <v>716</v>
      </c>
      <c r="D26" s="598" t="s">
        <v>461</v>
      </c>
    </row>
    <row r="27" spans="1:4" ht="12.75">
      <c r="A27" s="112" t="str">
        <f t="shared" si="0"/>
        <v>      Milchschafe und Ziegen. Effektive Menge eingeben.</v>
      </c>
      <c r="B27" s="510" t="s">
        <v>701</v>
      </c>
      <c r="C27" s="7" t="s">
        <v>717</v>
      </c>
      <c r="D27" s="598" t="s">
        <v>464</v>
      </c>
    </row>
    <row r="28" spans="1:4" ht="12.75">
      <c r="A28" s="112" t="str">
        <f t="shared" si="0"/>
        <v>    - Für Grund- und Kraftfutter während der Sömmerung gelten ebenfalls </v>
      </c>
      <c r="B28" s="510" t="s">
        <v>711</v>
      </c>
      <c r="C28" s="7" t="s">
        <v>714</v>
      </c>
      <c r="D28" s="598" t="s">
        <v>462</v>
      </c>
    </row>
    <row r="29" spans="1:4" ht="12.75">
      <c r="A29" s="112" t="str">
        <f t="shared" si="0"/>
        <v>      die Definitionen gemäss Anhang 5 DZV.</v>
      </c>
      <c r="B29" s="510" t="s">
        <v>712</v>
      </c>
      <c r="C29" s="7" t="s">
        <v>715</v>
      </c>
      <c r="D29" s="598" t="s">
        <v>463</v>
      </c>
    </row>
    <row r="30" spans="1:4" ht="12.75">
      <c r="A30" s="112" t="str">
        <f t="shared" si="0"/>
        <v>3. Teil B: Grundfutterproduktion</v>
      </c>
      <c r="B30" s="7" t="s">
        <v>673</v>
      </c>
      <c r="C30" s="456" t="s">
        <v>674</v>
      </c>
      <c r="D30" s="476" t="s">
        <v>677</v>
      </c>
    </row>
    <row r="31" spans="1:4" ht="12.75">
      <c r="A31" s="112" t="str">
        <f t="shared" si="0"/>
        <v>    - Flächen und Erträge erfassen</v>
      </c>
      <c r="B31" s="7" t="s">
        <v>672</v>
      </c>
      <c r="C31" s="456" t="s">
        <v>675</v>
      </c>
      <c r="D31" s="476" t="s">
        <v>676</v>
      </c>
    </row>
    <row r="32" spans="1:4" ht="12.75">
      <c r="A32" s="112" t="str">
        <f t="shared" si="0"/>
        <v>    - Für Wiesen und Weiden gelten Maximalwerte</v>
      </c>
      <c r="B32" s="7" t="s">
        <v>678</v>
      </c>
      <c r="C32" s="112" t="s">
        <v>679</v>
      </c>
      <c r="D32" s="476" t="s">
        <v>680</v>
      </c>
    </row>
    <row r="33" spans="1:4" ht="12.75">
      <c r="A33" s="112" t="str">
        <f t="shared" si="0"/>
        <v>    - Höhere Erträge nur mit Ertragsgutachten möglich</v>
      </c>
      <c r="B33" s="7" t="s">
        <v>681</v>
      </c>
      <c r="C33" s="112" t="s">
        <v>682</v>
      </c>
      <c r="D33" s="476" t="s">
        <v>683</v>
      </c>
    </row>
    <row r="34" spans="1:4" ht="12.75">
      <c r="A34" s="112" t="str">
        <f t="shared" si="0"/>
        <v>    - Erträge Zwischenkulturen max. 25 dt TS</v>
      </c>
      <c r="B34" s="7" t="s">
        <v>684</v>
      </c>
      <c r="C34" s="112" t="s">
        <v>685</v>
      </c>
      <c r="D34" s="476" t="s">
        <v>686</v>
      </c>
    </row>
    <row r="35" spans="1:4" ht="12.75">
      <c r="A35" s="112" t="str">
        <f t="shared" si="0"/>
        <v>4. Angaben für die Berechnung des Mindesttierbesatzes</v>
      </c>
      <c r="B35" s="7" t="s">
        <v>689</v>
      </c>
      <c r="C35" s="112" t="s">
        <v>718</v>
      </c>
      <c r="D35" s="476" t="s">
        <v>723</v>
      </c>
    </row>
    <row r="36" spans="1:4" ht="12.75">
      <c r="A36" s="112" t="str">
        <f t="shared" si="0"/>
        <v>    - Pro Zone die totale Grünfläche (Dauergrünfläche plus Kunstwiesen)  </v>
      </c>
      <c r="B36" s="7" t="s">
        <v>687</v>
      </c>
      <c r="C36" s="112" t="s">
        <v>719</v>
      </c>
      <c r="D36" s="476" t="s">
        <v>721</v>
      </c>
    </row>
    <row r="37" spans="1:4" ht="12.75">
      <c r="A37" s="112" t="str">
        <f t="shared" si="0"/>
        <v>      abzüglich Biodiversitätsförderflächen (BFF) erfassen.</v>
      </c>
      <c r="B37" s="7" t="s">
        <v>688</v>
      </c>
      <c r="C37" s="112" t="s">
        <v>720</v>
      </c>
      <c r="D37" s="476" t="s">
        <v>722</v>
      </c>
    </row>
    <row r="38" spans="1:4" ht="12.75">
      <c r="A38" s="112" t="str">
        <f t="shared" si="0"/>
        <v>    - Pro Zone die totale Biodiversitätsförderfläche erfassen</v>
      </c>
      <c r="B38" s="7" t="s">
        <v>883</v>
      </c>
      <c r="C38" s="112" t="s">
        <v>724</v>
      </c>
      <c r="D38" s="476" t="s">
        <v>882</v>
      </c>
    </row>
    <row r="39" spans="1:4" ht="12.75">
      <c r="A39" s="112" t="str">
        <f t="shared" si="0"/>
        <v>4. Teil C: Zu- und Wegfuhr Grundfutter erfassen</v>
      </c>
      <c r="B39" s="7" t="s">
        <v>702</v>
      </c>
      <c r="C39" s="112" t="s">
        <v>704</v>
      </c>
      <c r="D39" s="476" t="s">
        <v>706</v>
      </c>
    </row>
    <row r="40" spans="1:4" ht="12.75">
      <c r="A40" s="112" t="str">
        <f t="shared" si="0"/>
        <v>    - Code wählen: Zu-, Verkauf, GF produziert ausserhalb der Futterfläche</v>
      </c>
      <c r="B40" s="7" t="s">
        <v>884</v>
      </c>
      <c r="C40" s="456" t="s">
        <v>888</v>
      </c>
      <c r="D40" s="476" t="s">
        <v>892</v>
      </c>
    </row>
    <row r="41" spans="1:4" ht="12.75">
      <c r="A41" s="112" t="str">
        <f t="shared" si="0"/>
        <v>    - Achtung: Grundfutterbilanz muss ausgeglichen sein: Vergleich von </v>
      </c>
      <c r="B41" s="7" t="s">
        <v>885</v>
      </c>
      <c r="C41" s="112" t="s">
        <v>889</v>
      </c>
      <c r="D41" s="476" t="s">
        <v>893</v>
      </c>
    </row>
    <row r="42" spans="1:4" ht="12.75">
      <c r="A42" s="112" t="str">
        <f t="shared" si="0"/>
        <v>      "B1: Grundfutterproduktion total" und "Total auf der Futterfläche </v>
      </c>
      <c r="B42" s="7" t="s">
        <v>886</v>
      </c>
      <c r="C42" s="112" t="s">
        <v>890</v>
      </c>
      <c r="D42" s="476" t="s">
        <v>894</v>
      </c>
    </row>
    <row r="43" spans="1:4" ht="12.75">
      <c r="A43" s="112" t="str">
        <f t="shared" si="0"/>
        <v>      zu produzierendes Grundfutter (GFprod)"</v>
      </c>
      <c r="B43" s="7" t="s">
        <v>887</v>
      </c>
      <c r="C43" s="112" t="s">
        <v>891</v>
      </c>
      <c r="D43" s="476" t="s">
        <v>895</v>
      </c>
    </row>
    <row r="44" spans="1:4" ht="12.75">
      <c r="A44" s="112" t="str">
        <f t="shared" si="0"/>
        <v>5. Teil D: Bilanz </v>
      </c>
      <c r="B44" s="7" t="s">
        <v>703</v>
      </c>
      <c r="C44" s="112" t="s">
        <v>705</v>
      </c>
      <c r="D44" s="477" t="s">
        <v>707</v>
      </c>
    </row>
    <row r="45" spans="1:4" ht="12.75">
      <c r="A45" s="112" t="str">
        <f t="shared" si="0"/>
        <v>    - Abhängig von der Gebietszuteilung wird angezeigt, </v>
      </c>
      <c r="B45" s="7" t="s">
        <v>896</v>
      </c>
      <c r="C45" s="112" t="s">
        <v>900</v>
      </c>
      <c r="D45" s="477" t="s">
        <v>904</v>
      </c>
    </row>
    <row r="46" spans="1:4" ht="12.75">
      <c r="A46" s="112" t="str">
        <f t="shared" si="0"/>
        <v>      ob die Mindestanteile an der Ration erfüllt sind oder nicht.</v>
      </c>
      <c r="B46" s="7" t="s">
        <v>897</v>
      </c>
      <c r="C46" s="112" t="s">
        <v>901</v>
      </c>
      <c r="D46" s="477" t="s">
        <v>905</v>
      </c>
    </row>
    <row r="47" spans="1:4" ht="12.75">
      <c r="A47" s="112" t="str">
        <f t="shared" si="0"/>
        <v>      Grün=Erfüllt</v>
      </c>
      <c r="B47" s="7" t="s">
        <v>898</v>
      </c>
      <c r="C47" s="112" t="s">
        <v>902</v>
      </c>
      <c r="D47" s="476" t="s">
        <v>906</v>
      </c>
    </row>
    <row r="48" spans="1:4" ht="12.75">
      <c r="A48" s="112" t="str">
        <f t="shared" si="0"/>
        <v>      Rot=Nicht erfüllt</v>
      </c>
      <c r="B48" s="7" t="s">
        <v>899</v>
      </c>
      <c r="C48" s="112" t="s">
        <v>903</v>
      </c>
      <c r="D48" s="476" t="s">
        <v>907</v>
      </c>
    </row>
    <row r="49" spans="1:4" ht="12.75">
      <c r="A49" s="112" t="str">
        <f t="shared" si="0"/>
        <v>Hinweis:</v>
      </c>
      <c r="B49" s="7" t="s">
        <v>165</v>
      </c>
      <c r="C49" s="112" t="s">
        <v>187</v>
      </c>
      <c r="D49" s="476" t="s">
        <v>322</v>
      </c>
    </row>
    <row r="50" spans="1:4" s="111" customFormat="1" ht="12.75">
      <c r="A50" s="111" t="str">
        <f t="shared" si="0"/>
        <v>Bilanz                                      </v>
      </c>
      <c r="B50" s="111" t="s">
        <v>8</v>
      </c>
      <c r="C50" s="111" t="s">
        <v>1036</v>
      </c>
      <c r="D50" s="515"/>
    </row>
    <row r="51" spans="1:4" ht="12.75">
      <c r="A51" s="112" t="str">
        <f t="shared" si="0"/>
        <v>Futterbilanz für die graslandbasierte</v>
      </c>
      <c r="B51" s="7" t="s">
        <v>917</v>
      </c>
      <c r="C51" s="7" t="s">
        <v>1042</v>
      </c>
      <c r="D51" s="476" t="s">
        <v>323</v>
      </c>
    </row>
    <row r="52" spans="1:4" ht="12.75">
      <c r="A52" s="112" t="str">
        <f t="shared" si="0"/>
        <v>Milch- und Fleischproduktion</v>
      </c>
      <c r="B52" s="7" t="s">
        <v>918</v>
      </c>
      <c r="C52" s="7" t="s">
        <v>1043</v>
      </c>
      <c r="D52" s="476" t="s">
        <v>324</v>
      </c>
    </row>
    <row r="53" spans="1:4" ht="12.75">
      <c r="A53" s="112" t="str">
        <f t="shared" si="0"/>
        <v>Betriebsnummer</v>
      </c>
      <c r="B53" s="7" t="s">
        <v>85</v>
      </c>
      <c r="C53" s="7" t="s">
        <v>1064</v>
      </c>
      <c r="D53" s="476" t="s">
        <v>325</v>
      </c>
    </row>
    <row r="54" spans="1:4" ht="12.75">
      <c r="A54" s="112" t="str">
        <f t="shared" si="0"/>
        <v>Erntejahr</v>
      </c>
      <c r="B54" s="7" t="s">
        <v>86</v>
      </c>
      <c r="C54" s="7" t="s">
        <v>87</v>
      </c>
      <c r="D54" s="476" t="s">
        <v>326</v>
      </c>
    </row>
    <row r="55" spans="1:4" ht="12.75">
      <c r="A55" s="112" t="str">
        <f t="shared" si="0"/>
        <v>Name / Vorname</v>
      </c>
      <c r="B55" s="7" t="s">
        <v>88</v>
      </c>
      <c r="C55" s="7" t="s">
        <v>188</v>
      </c>
      <c r="D55" s="476" t="s">
        <v>327</v>
      </c>
    </row>
    <row r="56" spans="1:4" ht="12.75">
      <c r="A56" s="112" t="str">
        <f t="shared" si="0"/>
        <v>Variante</v>
      </c>
      <c r="B56" s="7" t="s">
        <v>1100</v>
      </c>
      <c r="C56" s="7" t="s">
        <v>1100</v>
      </c>
      <c r="D56" s="476" t="s">
        <v>328</v>
      </c>
    </row>
    <row r="57" spans="1:4" ht="12.75">
      <c r="A57" s="112" t="str">
        <f t="shared" si="0"/>
        <v>Strasse / Hof</v>
      </c>
      <c r="B57" s="7" t="s">
        <v>89</v>
      </c>
      <c r="C57" s="7" t="s">
        <v>189</v>
      </c>
      <c r="D57" s="476" t="s">
        <v>329</v>
      </c>
    </row>
    <row r="58" spans="1:4" ht="12.75">
      <c r="A58" s="112" t="str">
        <f t="shared" si="0"/>
        <v>Kanton</v>
      </c>
      <c r="B58" s="7" t="s">
        <v>93</v>
      </c>
      <c r="C58" s="7" t="s">
        <v>94</v>
      </c>
      <c r="D58" s="476" t="s">
        <v>330</v>
      </c>
    </row>
    <row r="59" spans="1:4" ht="12.75">
      <c r="A59" s="112" t="str">
        <f t="shared" si="0"/>
        <v>PLZ / Ort</v>
      </c>
      <c r="B59" s="7" t="s">
        <v>90</v>
      </c>
      <c r="C59" s="7" t="s">
        <v>190</v>
      </c>
      <c r="D59" s="476" t="s">
        <v>331</v>
      </c>
    </row>
    <row r="60" spans="1:4" ht="12.75">
      <c r="A60" s="112" t="str">
        <f t="shared" si="0"/>
        <v>Fax / E-Mail</v>
      </c>
      <c r="B60" s="7" t="s">
        <v>95</v>
      </c>
      <c r="C60" s="7" t="s">
        <v>191</v>
      </c>
      <c r="D60" s="476" t="s">
        <v>332</v>
      </c>
    </row>
    <row r="61" spans="1:4" ht="12.75">
      <c r="A61" s="112" t="str">
        <f t="shared" si="0"/>
        <v>Telefon</v>
      </c>
      <c r="B61" s="7" t="s">
        <v>91</v>
      </c>
      <c r="C61" s="7" t="s">
        <v>92</v>
      </c>
      <c r="D61" s="476" t="s">
        <v>333</v>
      </c>
    </row>
    <row r="62" spans="1:4" ht="12.75">
      <c r="A62" s="112" t="str">
        <f t="shared" si="0"/>
        <v>Handy</v>
      </c>
      <c r="B62" s="7" t="s">
        <v>37</v>
      </c>
      <c r="C62" s="7" t="s">
        <v>192</v>
      </c>
      <c r="D62" s="476" t="s">
        <v>334</v>
      </c>
    </row>
    <row r="63" spans="1:4" ht="12.75">
      <c r="A63" s="112" t="str">
        <f t="shared" si="0"/>
        <v>Landw. Nutzfläche</v>
      </c>
      <c r="B63" s="7" t="s">
        <v>1084</v>
      </c>
      <c r="C63" s="7" t="s">
        <v>1065</v>
      </c>
      <c r="D63" s="476" t="s">
        <v>552</v>
      </c>
    </row>
    <row r="64" spans="1:4" ht="12.75">
      <c r="A64" s="112" t="str">
        <f t="shared" si="0"/>
        <v>Höhe über Meer</v>
      </c>
      <c r="B64" s="7" t="s">
        <v>1078</v>
      </c>
      <c r="C64" s="7" t="s">
        <v>1079</v>
      </c>
      <c r="D64" s="476" t="s">
        <v>335</v>
      </c>
    </row>
    <row r="65" spans="1:4" ht="12.75">
      <c r="A65" s="112" t="str">
        <f t="shared" si="0"/>
        <v>Gebietszuteilung</v>
      </c>
      <c r="B65" s="7" t="s">
        <v>579</v>
      </c>
      <c r="C65" s="510" t="s">
        <v>644</v>
      </c>
      <c r="D65" s="510" t="s">
        <v>645</v>
      </c>
    </row>
    <row r="66" spans="1:4" ht="12.75">
      <c r="A66" s="112" t="str">
        <f t="shared" si="0"/>
        <v>Talgebiet</v>
      </c>
      <c r="B66" s="7" t="s">
        <v>178</v>
      </c>
      <c r="C66" s="510" t="s">
        <v>628</v>
      </c>
      <c r="D66" s="510" t="s">
        <v>569</v>
      </c>
    </row>
    <row r="67" spans="1:4" ht="12.75">
      <c r="A67" s="112" t="str">
        <f t="shared" si="0"/>
        <v>Berggebiet</v>
      </c>
      <c r="B67" s="7" t="s">
        <v>179</v>
      </c>
      <c r="C67" s="510" t="s">
        <v>182</v>
      </c>
      <c r="D67" s="510" t="s">
        <v>568</v>
      </c>
    </row>
    <row r="68" spans="1:4" ht="12.75">
      <c r="A68" s="112" t="str">
        <f t="shared" si="0"/>
        <v>Produktionsform</v>
      </c>
      <c r="B68" s="7" t="s">
        <v>1080</v>
      </c>
      <c r="C68" s="7" t="s">
        <v>1081</v>
      </c>
      <c r="D68" s="476" t="s">
        <v>342</v>
      </c>
    </row>
    <row r="69" spans="1:4" ht="12.75">
      <c r="A69" s="112" t="str">
        <f aca="true" t="shared" si="1" ref="A69:A79">IF($A$2=1,B69,IF($A$2=2,C69,IF($A$2=3,D69,"")))</f>
        <v>Ökonachweis: nicht erfüllt</v>
      </c>
      <c r="B69" s="7" t="s">
        <v>975</v>
      </c>
      <c r="C69" s="7" t="s">
        <v>976</v>
      </c>
      <c r="D69" s="476" t="s">
        <v>343</v>
      </c>
    </row>
    <row r="70" spans="1:4" ht="12.75">
      <c r="A70" s="112" t="str">
        <f t="shared" si="1"/>
        <v>Ökonachweis: erfüllt</v>
      </c>
      <c r="B70" s="7" t="s">
        <v>977</v>
      </c>
      <c r="C70" s="7" t="s">
        <v>978</v>
      </c>
      <c r="D70" s="476" t="s">
        <v>344</v>
      </c>
    </row>
    <row r="71" spans="1:4" ht="12.75">
      <c r="A71" s="112" t="str">
        <f t="shared" si="1"/>
        <v>Biologischer Landbau</v>
      </c>
      <c r="B71" s="7" t="s">
        <v>1023</v>
      </c>
      <c r="C71" s="7" t="s">
        <v>1024</v>
      </c>
      <c r="D71" s="476" t="s">
        <v>345</v>
      </c>
    </row>
    <row r="72" spans="1:4" ht="12.75">
      <c r="A72" s="112" t="str">
        <f t="shared" si="1"/>
        <v>Gemeinschaften</v>
      </c>
      <c r="B72" s="7" t="s">
        <v>96</v>
      </c>
      <c r="C72" s="7" t="s">
        <v>1083</v>
      </c>
      <c r="D72" s="476" t="s">
        <v>346</v>
      </c>
    </row>
    <row r="73" spans="1:4" ht="12.75">
      <c r="A73" s="112" t="str">
        <f t="shared" si="1"/>
        <v>keine</v>
      </c>
      <c r="B73" s="7" t="s">
        <v>1062</v>
      </c>
      <c r="C73" s="7" t="s">
        <v>1063</v>
      </c>
      <c r="D73" s="476" t="s">
        <v>347</v>
      </c>
    </row>
    <row r="74" spans="1:4" ht="12.75">
      <c r="A74" s="112" t="str">
        <f t="shared" si="1"/>
        <v>Gemeinschaft / ein Betrieb</v>
      </c>
      <c r="B74" s="7" t="s">
        <v>1070</v>
      </c>
      <c r="C74" s="7" t="s">
        <v>1071</v>
      </c>
      <c r="D74" s="476" t="s">
        <v>348</v>
      </c>
    </row>
    <row r="75" spans="1:4" ht="12.75">
      <c r="A75" s="112" t="str">
        <f t="shared" si="1"/>
        <v>mit 2 Betrieben</v>
      </c>
      <c r="B75" s="7" t="s">
        <v>1072</v>
      </c>
      <c r="C75" s="7" t="s">
        <v>1073</v>
      </c>
      <c r="D75" s="476" t="s">
        <v>349</v>
      </c>
    </row>
    <row r="76" spans="1:4" ht="12.75">
      <c r="A76" s="112" t="str">
        <f t="shared" si="1"/>
        <v>mit 3 Betrieben</v>
      </c>
      <c r="B76" s="7" t="s">
        <v>1074</v>
      </c>
      <c r="C76" s="7" t="s">
        <v>941</v>
      </c>
      <c r="D76" s="476" t="s">
        <v>350</v>
      </c>
    </row>
    <row r="77" spans="1:4" ht="12.75">
      <c r="A77" s="112" t="str">
        <f t="shared" si="1"/>
        <v>mit 4 Betrieben</v>
      </c>
      <c r="B77" s="7" t="s">
        <v>942</v>
      </c>
      <c r="C77" s="7" t="s">
        <v>943</v>
      </c>
      <c r="D77" s="476" t="s">
        <v>351</v>
      </c>
    </row>
    <row r="78" spans="1:4" ht="12.75">
      <c r="A78" s="112" t="str">
        <f t="shared" si="1"/>
        <v>Berater / Beraterin</v>
      </c>
      <c r="B78" s="7" t="s">
        <v>46</v>
      </c>
      <c r="C78" s="7" t="s">
        <v>45</v>
      </c>
      <c r="D78" s="476" t="s">
        <v>352</v>
      </c>
    </row>
    <row r="79" spans="1:4" ht="12.75">
      <c r="A79" s="112" t="str">
        <f t="shared" si="1"/>
        <v>Bemerkungen</v>
      </c>
      <c r="B79" s="7" t="s">
        <v>98</v>
      </c>
      <c r="C79" s="7" t="s">
        <v>99</v>
      </c>
      <c r="D79" s="476" t="s">
        <v>353</v>
      </c>
    </row>
    <row r="80" spans="1:4" s="111" customFormat="1" ht="12.75">
      <c r="A80" s="111" t="str">
        <f aca="true" t="shared" si="2" ref="A80:A119">IF($A$2=1,B80,IF($A$2=2,C80,IF($A$2=3,D80,"")))</f>
        <v>Teil A: Grund- und Kraftfutterverzehr (Bedarf)</v>
      </c>
      <c r="B80" s="111" t="s">
        <v>934</v>
      </c>
      <c r="C80" s="111" t="s">
        <v>243</v>
      </c>
      <c r="D80" s="475" t="s">
        <v>354</v>
      </c>
    </row>
    <row r="81" spans="1:5" ht="12.75">
      <c r="A81" s="112" t="str">
        <f t="shared" si="2"/>
        <v>Total Kraftfutterverbrauch für Milchkühe auf LN</v>
      </c>
      <c r="B81" s="7" t="s">
        <v>229</v>
      </c>
      <c r="C81" s="7" t="s">
        <v>230</v>
      </c>
      <c r="D81" s="633" t="s">
        <v>231</v>
      </c>
      <c r="E81" s="476" t="s">
        <v>355</v>
      </c>
    </row>
    <row r="82" spans="1:4" ht="12.75">
      <c r="A82" s="112" t="str">
        <f t="shared" si="2"/>
        <v>dt/Jahr</v>
      </c>
      <c r="B82" s="7" t="s">
        <v>232</v>
      </c>
      <c r="C82" s="82" t="s">
        <v>233</v>
      </c>
      <c r="D82" s="476" t="s">
        <v>234</v>
      </c>
    </row>
    <row r="83" spans="1:5" ht="12.75">
      <c r="A83" s="112" t="str">
        <f t="shared" si="2"/>
        <v>Fütterung von Kartoffeln oder Futterrüben?</v>
      </c>
      <c r="B83" s="7" t="s">
        <v>1025</v>
      </c>
      <c r="C83" s="7" t="s">
        <v>193</v>
      </c>
      <c r="D83" s="476" t="s">
        <v>558</v>
      </c>
      <c r="E83" s="476" t="s">
        <v>356</v>
      </c>
    </row>
    <row r="84" spans="1:4" ht="12.75">
      <c r="A84" s="112" t="str">
        <f t="shared" si="2"/>
        <v>ad libitum-Fütterung?</v>
      </c>
      <c r="B84" s="7" t="s">
        <v>1026</v>
      </c>
      <c r="C84" s="7" t="s">
        <v>1027</v>
      </c>
      <c r="D84" s="476" t="s">
        <v>357</v>
      </c>
    </row>
    <row r="85" spans="1:4" ht="12.75">
      <c r="A85" s="112" t="str">
        <f t="shared" si="2"/>
        <v>ja</v>
      </c>
      <c r="B85" s="7" t="s">
        <v>1028</v>
      </c>
      <c r="C85" s="7" t="s">
        <v>1029</v>
      </c>
      <c r="D85" s="476" t="s">
        <v>358</v>
      </c>
    </row>
    <row r="86" spans="1:4" ht="12.75">
      <c r="A86" s="112" t="str">
        <f t="shared" si="2"/>
        <v>nein</v>
      </c>
      <c r="B86" s="7" t="s">
        <v>1030</v>
      </c>
      <c r="C86" s="7" t="s">
        <v>1031</v>
      </c>
      <c r="D86" s="476" t="s">
        <v>359</v>
      </c>
    </row>
    <row r="87" spans="1:4" ht="12.75">
      <c r="A87" s="112" t="str">
        <f t="shared" si="2"/>
        <v>Tierart bzw. Tierkategorie</v>
      </c>
      <c r="B87" s="7" t="s">
        <v>1032</v>
      </c>
      <c r="C87" s="7" t="s">
        <v>1179</v>
      </c>
      <c r="D87" s="476" t="s">
        <v>360</v>
      </c>
    </row>
    <row r="88" spans="1:4" ht="12.75">
      <c r="A88" s="112" t="str">
        <f t="shared" si="2"/>
        <v>Einheit</v>
      </c>
      <c r="B88" s="7" t="s">
        <v>1085</v>
      </c>
      <c r="C88" s="7" t="s">
        <v>144</v>
      </c>
      <c r="D88" s="476" t="s">
        <v>361</v>
      </c>
    </row>
    <row r="89" spans="1:4" ht="12.75">
      <c r="A89" s="112" t="str">
        <f t="shared" si="2"/>
        <v>Anzahl</v>
      </c>
      <c r="B89" s="7" t="s">
        <v>1164</v>
      </c>
      <c r="C89" s="7" t="s">
        <v>1181</v>
      </c>
      <c r="D89" s="476" t="s">
        <v>362</v>
      </c>
    </row>
    <row r="90" spans="1:4" ht="12.75">
      <c r="A90" s="112" t="str">
        <f t="shared" si="2"/>
        <v>Abzug /</v>
      </c>
      <c r="B90" s="7" t="s">
        <v>1158</v>
      </c>
      <c r="C90" s="7" t="s">
        <v>1159</v>
      </c>
      <c r="D90" s="476" t="s">
        <v>363</v>
      </c>
    </row>
    <row r="91" spans="1:4" ht="12.75">
      <c r="A91" s="112" t="str">
        <f t="shared" si="2"/>
        <v>Zuschlag</v>
      </c>
      <c r="B91" s="7" t="s">
        <v>1160</v>
      </c>
      <c r="C91" s="7" t="s">
        <v>1161</v>
      </c>
      <c r="D91" s="476" t="s">
        <v>364</v>
      </c>
    </row>
    <row r="92" spans="1:4" ht="12.75">
      <c r="A92" s="112" t="str">
        <f t="shared" si="2"/>
        <v>± Tiere</v>
      </c>
      <c r="B92" s="7" t="s">
        <v>1162</v>
      </c>
      <c r="C92" s="7" t="s">
        <v>194</v>
      </c>
      <c r="D92" s="476" t="s">
        <v>553</v>
      </c>
    </row>
    <row r="93" spans="1:4" ht="12.75">
      <c r="A93" s="112" t="str">
        <f t="shared" si="2"/>
        <v>Tage</v>
      </c>
      <c r="B93" s="7" t="s">
        <v>1163</v>
      </c>
      <c r="C93" s="7" t="s">
        <v>18</v>
      </c>
      <c r="D93" s="476" t="s">
        <v>365</v>
      </c>
    </row>
    <row r="94" spans="1:4" ht="12.75">
      <c r="A94" s="112" t="str">
        <f t="shared" si="2"/>
        <v>Anzahl</v>
      </c>
      <c r="B94" s="7" t="s">
        <v>1164</v>
      </c>
      <c r="C94" s="7" t="s">
        <v>1181</v>
      </c>
      <c r="D94" s="476" t="s">
        <v>362</v>
      </c>
    </row>
    <row r="95" spans="1:4" ht="12.75">
      <c r="A95" s="112" t="str">
        <f t="shared" si="2"/>
        <v>korri-</v>
      </c>
      <c r="B95" s="7" t="s">
        <v>70</v>
      </c>
      <c r="C95" s="7" t="s">
        <v>1033</v>
      </c>
      <c r="D95" s="476" t="s">
        <v>366</v>
      </c>
    </row>
    <row r="96" spans="1:4" ht="12.75">
      <c r="A96" s="112" t="str">
        <f t="shared" si="2"/>
        <v>giert</v>
      </c>
      <c r="B96" s="7" t="s">
        <v>71</v>
      </c>
      <c r="D96" s="155"/>
    </row>
    <row r="97" spans="1:4" ht="12.75">
      <c r="A97" s="112" t="str">
        <f t="shared" si="2"/>
        <v>Grundfutter-</v>
      </c>
      <c r="B97" s="7" t="s">
        <v>39</v>
      </c>
      <c r="C97" s="7" t="s">
        <v>1178</v>
      </c>
      <c r="D97" s="476" t="s">
        <v>367</v>
      </c>
    </row>
    <row r="98" spans="1:4" ht="12.75">
      <c r="A98" s="112" t="str">
        <f t="shared" si="2"/>
        <v>verzehr</v>
      </c>
      <c r="B98" s="7" t="s">
        <v>38</v>
      </c>
      <c r="C98" s="7" t="s">
        <v>195</v>
      </c>
      <c r="D98" s="476" t="s">
        <v>368</v>
      </c>
    </row>
    <row r="99" spans="1:4" ht="12.75">
      <c r="A99" s="112" t="str">
        <f t="shared" si="2"/>
        <v>pro Jahr</v>
      </c>
      <c r="B99" s="7" t="s">
        <v>1093</v>
      </c>
      <c r="C99" s="7" t="s">
        <v>1182</v>
      </c>
      <c r="D99" s="476" t="s">
        <v>369</v>
      </c>
    </row>
    <row r="100" spans="1:4" ht="12.75">
      <c r="A100" s="112" t="str">
        <f t="shared" si="2"/>
        <v>dt FS</v>
      </c>
      <c r="B100" s="7" t="s">
        <v>1142</v>
      </c>
      <c r="C100" s="7" t="s">
        <v>1143</v>
      </c>
      <c r="D100" s="476" t="s">
        <v>370</v>
      </c>
    </row>
    <row r="101" spans="1:4" ht="12.75">
      <c r="A101" s="112" t="str">
        <f t="shared" si="2"/>
        <v>total</v>
      </c>
      <c r="B101" s="7" t="s">
        <v>1183</v>
      </c>
      <c r="C101" s="7" t="s">
        <v>1183</v>
      </c>
      <c r="D101" s="476" t="s">
        <v>371</v>
      </c>
    </row>
    <row r="102" spans="1:4" ht="12.75">
      <c r="A102" s="112" t="str">
        <f t="shared" si="2"/>
        <v>dt TS</v>
      </c>
      <c r="B102" s="7" t="s">
        <v>1086</v>
      </c>
      <c r="C102" s="7" t="s">
        <v>1184</v>
      </c>
      <c r="D102" s="476" t="s">
        <v>372</v>
      </c>
    </row>
    <row r="103" spans="1:4" ht="12.75">
      <c r="A103" s="112" t="str">
        <f t="shared" si="2"/>
        <v>Kraftfutter-</v>
      </c>
      <c r="B103" s="7" t="s">
        <v>949</v>
      </c>
      <c r="C103" s="7" t="s">
        <v>1178</v>
      </c>
      <c r="D103" s="476" t="s">
        <v>373</v>
      </c>
    </row>
    <row r="104" spans="1:4" ht="12.75">
      <c r="A104" s="112" t="str">
        <f t="shared" si="2"/>
        <v>verzehr</v>
      </c>
      <c r="B104" s="7" t="s">
        <v>38</v>
      </c>
      <c r="C104" s="7" t="s">
        <v>196</v>
      </c>
      <c r="D104" s="476" t="s">
        <v>554</v>
      </c>
    </row>
    <row r="105" spans="1:4" ht="12.75">
      <c r="A105" s="112" t="str">
        <f t="shared" si="2"/>
        <v>pro Einh.</v>
      </c>
      <c r="B105" s="7" t="s">
        <v>1061</v>
      </c>
      <c r="C105" s="7" t="s">
        <v>1180</v>
      </c>
      <c r="D105" s="476" t="s">
        <v>374</v>
      </c>
    </row>
    <row r="106" spans="1:4" ht="12.75">
      <c r="A106" s="112" t="str">
        <f t="shared" si="2"/>
        <v>kg FS</v>
      </c>
      <c r="B106" s="7" t="s">
        <v>929</v>
      </c>
      <c r="C106" s="112" t="s">
        <v>197</v>
      </c>
      <c r="D106" s="476" t="s">
        <v>375</v>
      </c>
    </row>
    <row r="107" spans="1:4" ht="12.75">
      <c r="A107" s="112" t="str">
        <f t="shared" si="2"/>
        <v>dt</v>
      </c>
      <c r="B107" s="7" t="s">
        <v>145</v>
      </c>
      <c r="C107" s="7" t="s">
        <v>145</v>
      </c>
      <c r="D107" s="476" t="s">
        <v>376</v>
      </c>
    </row>
    <row r="108" spans="1:4" ht="12.75">
      <c r="A108" s="112" t="str">
        <f t="shared" si="2"/>
        <v>Sömmerung</v>
      </c>
      <c r="B108" s="7" t="s">
        <v>982</v>
      </c>
      <c r="C108" s="510" t="s">
        <v>983</v>
      </c>
      <c r="D108" s="596" t="s">
        <v>984</v>
      </c>
    </row>
    <row r="109" spans="1:4" ht="12.75">
      <c r="A109" s="112" t="str">
        <f t="shared" si="2"/>
        <v>Anzahl</v>
      </c>
      <c r="B109" s="7" t="s">
        <v>1164</v>
      </c>
      <c r="C109" s="510" t="s">
        <v>1181</v>
      </c>
      <c r="D109" s="476" t="s">
        <v>362</v>
      </c>
    </row>
    <row r="110" spans="1:4" ht="12.75">
      <c r="A110" s="112" t="str">
        <f t="shared" si="2"/>
        <v>Tiere</v>
      </c>
      <c r="B110" s="7" t="s">
        <v>979</v>
      </c>
      <c r="C110" s="510" t="s">
        <v>980</v>
      </c>
      <c r="D110" s="476" t="s">
        <v>981</v>
      </c>
    </row>
    <row r="111" spans="1:4" ht="12.75">
      <c r="A111" s="112" t="str">
        <f t="shared" si="2"/>
        <v>Anzahl</v>
      </c>
      <c r="B111" s="7" t="s">
        <v>1164</v>
      </c>
      <c r="C111" s="510" t="s">
        <v>1181</v>
      </c>
      <c r="D111" s="476" t="s">
        <v>362</v>
      </c>
    </row>
    <row r="112" spans="1:4" ht="12.75">
      <c r="A112" s="112" t="str">
        <f t="shared" si="2"/>
        <v>Tage</v>
      </c>
      <c r="B112" s="7" t="s">
        <v>1163</v>
      </c>
      <c r="C112" s="510" t="s">
        <v>18</v>
      </c>
      <c r="D112" s="476" t="s">
        <v>365</v>
      </c>
    </row>
    <row r="113" spans="1:4" ht="12.75">
      <c r="A113" s="112" t="str">
        <f>IF($A$2=1,B113,IF($A$2=2,C113,IF($A$2=3,D113,"")))</f>
        <v>Sömmerungs-</v>
      </c>
      <c r="B113" s="112" t="s">
        <v>991</v>
      </c>
      <c r="C113" s="630" t="s">
        <v>992</v>
      </c>
      <c r="D113" s="598" t="s">
        <v>592</v>
      </c>
    </row>
    <row r="114" spans="1:4" ht="12.75">
      <c r="A114" s="112" t="str">
        <f>IF($A$2=1,B114,IF($A$2=2,C114,IF($A$2=3,D114,"")))</f>
        <v>tage total</v>
      </c>
      <c r="B114" s="112" t="s">
        <v>993</v>
      </c>
      <c r="C114" s="630" t="s">
        <v>1183</v>
      </c>
      <c r="D114" s="597" t="s">
        <v>593</v>
      </c>
    </row>
    <row r="115" spans="1:4" ht="12.75">
      <c r="A115" s="112" t="str">
        <f t="shared" si="2"/>
        <v>GF-Verzehr</v>
      </c>
      <c r="B115" s="7" t="s">
        <v>994</v>
      </c>
      <c r="C115" s="510" t="s">
        <v>995</v>
      </c>
      <c r="D115" s="510" t="s">
        <v>996</v>
      </c>
    </row>
    <row r="116" spans="1:4" ht="12.75">
      <c r="A116" s="112" t="str">
        <f t="shared" si="2"/>
        <v>Kraftfutter</v>
      </c>
      <c r="B116" s="7" t="s">
        <v>1177</v>
      </c>
      <c r="C116" s="510" t="s">
        <v>997</v>
      </c>
      <c r="D116" s="510" t="s">
        <v>554</v>
      </c>
    </row>
    <row r="117" spans="1:4" ht="12.75">
      <c r="A117" s="112" t="str">
        <f>IF($A$2=1,B117,IF($A$2=2,C117,IF($A$2=3,D117,"")))</f>
        <v>dt TS total</v>
      </c>
      <c r="B117" s="112" t="s">
        <v>988</v>
      </c>
      <c r="C117" s="510" t="s">
        <v>989</v>
      </c>
      <c r="D117" s="597" t="s">
        <v>990</v>
      </c>
    </row>
    <row r="118" spans="1:4" ht="12.75">
      <c r="A118" s="112" t="str">
        <f>IF($A$2=1,B118,IF($A$2=2,C118,IF($A$2=3,D118,"")))</f>
        <v>dt FS total</v>
      </c>
      <c r="B118" s="112" t="s">
        <v>985</v>
      </c>
      <c r="C118" s="552" t="s">
        <v>986</v>
      </c>
      <c r="D118" s="597" t="s">
        <v>987</v>
      </c>
    </row>
    <row r="119" spans="1:5" ht="12.75">
      <c r="A119" s="112" t="str">
        <f t="shared" si="2"/>
        <v>Raufutterverzehrer mit Kraftfutter</v>
      </c>
      <c r="B119" s="7" t="s">
        <v>105</v>
      </c>
      <c r="C119" s="7" t="s">
        <v>198</v>
      </c>
      <c r="D119" s="476" t="s">
        <v>377</v>
      </c>
      <c r="E119" s="476" t="s">
        <v>377</v>
      </c>
    </row>
    <row r="120" spans="1:4" ht="12.75">
      <c r="A120" s="112" t="str">
        <f aca="true" t="shared" si="3" ref="A120:A151">IF($A$2=1,B120,IF($A$2=2,C120,IF($A$2=3,D120,"")))</f>
        <v>Rindvieh</v>
      </c>
      <c r="B120" s="7" t="s">
        <v>153</v>
      </c>
      <c r="C120" s="7" t="s">
        <v>199</v>
      </c>
      <c r="D120" s="476" t="s">
        <v>378</v>
      </c>
    </row>
    <row r="121" spans="1:4" ht="12.75">
      <c r="A121" s="112" t="str">
        <f t="shared" si="3"/>
        <v>Ø Milchprod. kg/Jahr</v>
      </c>
      <c r="B121" s="527" t="s">
        <v>725</v>
      </c>
      <c r="C121" s="527" t="s">
        <v>726</v>
      </c>
      <c r="D121" s="527" t="s">
        <v>727</v>
      </c>
    </row>
    <row r="122" spans="1:4" ht="12.75">
      <c r="A122" s="112" t="str">
        <f t="shared" si="3"/>
        <v>Milchkühe</v>
      </c>
      <c r="B122" s="7" t="s">
        <v>73</v>
      </c>
      <c r="C122" s="457" t="s">
        <v>200</v>
      </c>
      <c r="D122" s="476" t="s">
        <v>379</v>
      </c>
    </row>
    <row r="123" spans="1:4" ht="12.75">
      <c r="A123" s="112" t="str">
        <f t="shared" si="3"/>
        <v>andere Kühe</v>
      </c>
      <c r="B123" s="7" t="s">
        <v>944</v>
      </c>
      <c r="C123" s="7" t="s">
        <v>201</v>
      </c>
      <c r="D123" s="476" t="s">
        <v>380</v>
      </c>
    </row>
    <row r="124" spans="1:4" ht="12.75">
      <c r="A124" s="112" t="str">
        <f t="shared" si="3"/>
        <v>Mutterkühe schwer (&gt;= 600 kg)</v>
      </c>
      <c r="B124" s="7" t="s">
        <v>1186</v>
      </c>
      <c r="C124" s="7" t="s">
        <v>19</v>
      </c>
      <c r="D124" s="476" t="s">
        <v>381</v>
      </c>
    </row>
    <row r="125" spans="1:4" ht="12.75">
      <c r="A125" s="112" t="str">
        <f t="shared" si="3"/>
        <v>Mutterkühe leicht (450 kg)</v>
      </c>
      <c r="B125" s="7" t="s">
        <v>1187</v>
      </c>
      <c r="C125" s="7" t="s">
        <v>148</v>
      </c>
      <c r="D125" s="476" t="s">
        <v>382</v>
      </c>
    </row>
    <row r="126" spans="1:4" ht="12.75">
      <c r="A126" s="112" t="str">
        <f t="shared" si="3"/>
        <v>Ammenkühe 2 Kälber / Jahr, ohne Kälber</v>
      </c>
      <c r="B126" s="7" t="s">
        <v>279</v>
      </c>
      <c r="C126" s="7" t="s">
        <v>149</v>
      </c>
      <c r="D126" s="476" t="s">
        <v>383</v>
      </c>
    </row>
    <row r="127" spans="1:4" ht="12.75">
      <c r="A127" s="112" t="str">
        <f t="shared" si="3"/>
        <v>Jungvieh, 0 bis 1-jährig</v>
      </c>
      <c r="B127" s="7" t="s">
        <v>1087</v>
      </c>
      <c r="C127" s="7" t="s">
        <v>202</v>
      </c>
      <c r="D127" s="476" t="s">
        <v>384</v>
      </c>
    </row>
    <row r="128" spans="1:4" ht="12.75">
      <c r="A128" s="112" t="str">
        <f t="shared" si="3"/>
        <v>Jungvieh, 1 bis 2-jährig</v>
      </c>
      <c r="B128" s="7" t="s">
        <v>1088</v>
      </c>
      <c r="C128" s="7" t="s">
        <v>203</v>
      </c>
      <c r="D128" s="476" t="s">
        <v>385</v>
      </c>
    </row>
    <row r="129" spans="1:4" ht="12.75">
      <c r="A129" s="112" t="str">
        <f t="shared" si="3"/>
        <v>Rinder &gt;2-jährig</v>
      </c>
      <c r="B129" s="7" t="s">
        <v>1089</v>
      </c>
      <c r="C129" s="7" t="s">
        <v>204</v>
      </c>
      <c r="D129" s="476" t="s">
        <v>386</v>
      </c>
    </row>
    <row r="130" spans="1:4" ht="12.75">
      <c r="A130" s="112" t="str">
        <f t="shared" si="3"/>
        <v>Mastkälber (50-200 kg)</v>
      </c>
      <c r="B130" s="7" t="s">
        <v>49</v>
      </c>
      <c r="C130" s="7" t="s">
        <v>205</v>
      </c>
      <c r="D130" s="476" t="s">
        <v>387</v>
      </c>
    </row>
    <row r="131" spans="1:4" ht="12.75">
      <c r="A131" s="112" t="str">
        <f t="shared" si="3"/>
        <v>Mutterkuhkälber leicht, ca 350 kg</v>
      </c>
      <c r="B131" s="7" t="s">
        <v>1188</v>
      </c>
      <c r="C131" s="7" t="s">
        <v>206</v>
      </c>
      <c r="D131" s="476" t="s">
        <v>388</v>
      </c>
    </row>
    <row r="132" spans="1:4" ht="12.75">
      <c r="A132" s="112" t="str">
        <f t="shared" si="3"/>
        <v>Mutterkuhkälber schwer, ca 400 kg</v>
      </c>
      <c r="B132" s="7" t="s">
        <v>1189</v>
      </c>
      <c r="C132" s="7" t="s">
        <v>207</v>
      </c>
      <c r="D132" s="476" t="s">
        <v>389</v>
      </c>
    </row>
    <row r="133" spans="1:4" ht="12.75">
      <c r="A133" s="112" t="str">
        <f t="shared" si="3"/>
        <v>Rindviehmast intensiv, 65-520 kg</v>
      </c>
      <c r="B133" s="7" t="s">
        <v>1205</v>
      </c>
      <c r="C133" s="7" t="s">
        <v>208</v>
      </c>
      <c r="D133" s="476" t="s">
        <v>390</v>
      </c>
    </row>
    <row r="134" spans="1:4" ht="12.75">
      <c r="A134" s="112" t="str">
        <f t="shared" si="3"/>
        <v>Rindviehmast Tränker &lt; 4 Mte.</v>
      </c>
      <c r="B134" s="7" t="s">
        <v>1090</v>
      </c>
      <c r="C134" s="7" t="s">
        <v>209</v>
      </c>
      <c r="D134" s="476" t="s">
        <v>391</v>
      </c>
    </row>
    <row r="135" spans="1:4" ht="12.75">
      <c r="A135" s="112" t="str">
        <f t="shared" si="3"/>
        <v>Rindviehmast intensiv &gt; 4 Monate</v>
      </c>
      <c r="B135" s="7" t="s">
        <v>50</v>
      </c>
      <c r="C135" s="7" t="s">
        <v>210</v>
      </c>
      <c r="D135" s="476" t="s">
        <v>392</v>
      </c>
    </row>
    <row r="136" spans="1:4" ht="12.75">
      <c r="A136" s="112" t="str">
        <f t="shared" si="3"/>
        <v>Rindviehmast Weidemast &gt; 4 Monate</v>
      </c>
      <c r="B136" s="7" t="s">
        <v>1091</v>
      </c>
      <c r="C136" s="7" t="s">
        <v>211</v>
      </c>
      <c r="D136" s="476" t="s">
        <v>396</v>
      </c>
    </row>
    <row r="137" spans="1:4" ht="12.75">
      <c r="A137" s="112" t="str">
        <f t="shared" si="3"/>
        <v>Rindviehmast, intensive Ausmast</v>
      </c>
      <c r="B137" s="7" t="s">
        <v>1190</v>
      </c>
      <c r="C137" s="7" t="s">
        <v>1120</v>
      </c>
      <c r="D137" s="476" t="s">
        <v>397</v>
      </c>
    </row>
    <row r="138" spans="1:4" ht="12.75">
      <c r="A138" s="112" t="str">
        <f t="shared" si="3"/>
        <v>Zuchtstier</v>
      </c>
      <c r="B138" s="7" t="s">
        <v>1191</v>
      </c>
      <c r="C138" s="7" t="s">
        <v>1121</v>
      </c>
      <c r="D138" s="476" t="s">
        <v>398</v>
      </c>
    </row>
    <row r="139" spans="1:4" ht="12.75">
      <c r="A139" s="112" t="str">
        <f t="shared" si="3"/>
        <v>Raufutterverzehrer ohne Kraftfutter (gem. GMF)</v>
      </c>
      <c r="B139" s="7" t="s">
        <v>106</v>
      </c>
      <c r="C139" s="457" t="s">
        <v>212</v>
      </c>
      <c r="D139" s="476" t="s">
        <v>399</v>
      </c>
    </row>
    <row r="140" spans="1:4" ht="12.75">
      <c r="A140" s="112" t="str">
        <f t="shared" si="3"/>
        <v>weitere Raufutterverzehrende Tiere</v>
      </c>
      <c r="B140" s="7" t="s">
        <v>152</v>
      </c>
      <c r="C140" s="7" t="s">
        <v>213</v>
      </c>
      <c r="D140" s="476" t="s">
        <v>400</v>
      </c>
    </row>
    <row r="141" spans="1:4" ht="12.75">
      <c r="A141" s="112" t="str">
        <f t="shared" si="3"/>
        <v>Zuchtstute inkl. Fohlen</v>
      </c>
      <c r="B141" s="7" t="s">
        <v>52</v>
      </c>
      <c r="C141" s="7" t="s">
        <v>1122</v>
      </c>
      <c r="D141" s="476" t="s">
        <v>401</v>
      </c>
    </row>
    <row r="142" spans="1:4" ht="12.75">
      <c r="A142" s="112" t="str">
        <f t="shared" si="3"/>
        <v>Stute inkl. Fohlen, Hafer als KF (max. 700 kg)</v>
      </c>
      <c r="B142" s="7" t="s">
        <v>1192</v>
      </c>
      <c r="C142" s="7" t="s">
        <v>214</v>
      </c>
      <c r="D142" s="476" t="s">
        <v>402</v>
      </c>
    </row>
    <row r="143" spans="1:4" ht="12.75">
      <c r="A143" s="112" t="str">
        <f t="shared" si="3"/>
        <v>Pferde über 3-jährig</v>
      </c>
      <c r="B143" s="7" t="s">
        <v>51</v>
      </c>
      <c r="C143" s="7" t="s">
        <v>215</v>
      </c>
      <c r="D143" s="476" t="s">
        <v>403</v>
      </c>
    </row>
    <row r="144" spans="1:4" ht="12.75">
      <c r="A144" s="112" t="str">
        <f t="shared" si="3"/>
        <v>Fohlen 0.5 bis 3-jährig</v>
      </c>
      <c r="B144" s="7" t="s">
        <v>53</v>
      </c>
      <c r="C144" s="7" t="s">
        <v>54</v>
      </c>
      <c r="D144" s="476" t="s">
        <v>404</v>
      </c>
    </row>
    <row r="145" spans="1:4" ht="12.75">
      <c r="A145" s="112" t="str">
        <f t="shared" si="3"/>
        <v>Maultiere, Maulesel jeden Alters</v>
      </c>
      <c r="B145" s="7" t="s">
        <v>1193</v>
      </c>
      <c r="C145" s="7" t="s">
        <v>216</v>
      </c>
      <c r="D145" s="476" t="s">
        <v>405</v>
      </c>
    </row>
    <row r="146" spans="1:4" ht="12.75">
      <c r="A146" s="112" t="str">
        <f t="shared" si="3"/>
        <v>Ponys, Kleinpferde und Esel</v>
      </c>
      <c r="B146" s="7" t="s">
        <v>55</v>
      </c>
      <c r="C146" s="7" t="s">
        <v>217</v>
      </c>
      <c r="D146" s="476" t="s">
        <v>406</v>
      </c>
    </row>
    <row r="147" spans="1:4" ht="12.75">
      <c r="A147" s="112" t="str">
        <f t="shared" si="3"/>
        <v>Ziegenplatz (inkl. Juntiere und Anteil Bock)</v>
      </c>
      <c r="B147" s="7" t="s">
        <v>1194</v>
      </c>
      <c r="C147" s="7" t="s">
        <v>218</v>
      </c>
      <c r="D147" s="476" t="s">
        <v>545</v>
      </c>
    </row>
    <row r="148" spans="1:4" ht="12.75">
      <c r="A148" s="112" t="str">
        <f t="shared" si="3"/>
        <v>Schafplatz (inkl. Jungtiere und Anteil Bock)</v>
      </c>
      <c r="B148" s="7" t="s">
        <v>1195</v>
      </c>
      <c r="C148" s="7" t="s">
        <v>219</v>
      </c>
      <c r="D148" s="476" t="s">
        <v>546</v>
      </c>
    </row>
    <row r="149" spans="1:4" ht="12.75">
      <c r="A149" s="112" t="str">
        <f t="shared" si="3"/>
        <v>Milchschafe (inkl.Jungtiere)</v>
      </c>
      <c r="B149" s="7" t="s">
        <v>1092</v>
      </c>
      <c r="C149" s="7" t="s">
        <v>1124</v>
      </c>
      <c r="D149" s="476" t="s">
        <v>547</v>
      </c>
    </row>
    <row r="150" spans="1:4" ht="12.75">
      <c r="A150" s="112" t="str">
        <f t="shared" si="3"/>
        <v>Weidemastlamm, -gitzi</v>
      </c>
      <c r="B150" s="7" t="s">
        <v>40</v>
      </c>
      <c r="C150" s="7" t="s">
        <v>1123</v>
      </c>
      <c r="D150" s="476" t="s">
        <v>407</v>
      </c>
    </row>
    <row r="151" spans="1:4" ht="12.75">
      <c r="A151" s="112" t="str">
        <f t="shared" si="3"/>
        <v>Damhirsche inkl. Jungtiere, 1 Einheit=2 Tiere</v>
      </c>
      <c r="B151" s="7" t="s">
        <v>1198</v>
      </c>
      <c r="C151" s="112" t="s">
        <v>280</v>
      </c>
      <c r="D151" s="476" t="s">
        <v>408</v>
      </c>
    </row>
    <row r="152" spans="1:4" ht="12.75">
      <c r="A152" s="112" t="str">
        <f aca="true" t="shared" si="4" ref="A152:A186">IF($A$2=1,B152,IF($A$2=2,C152,IF($A$2=3,D152,"")))</f>
        <v>Rothirsche inkl. Jungtiere, 1 Einheit=2 Tiere</v>
      </c>
      <c r="B152" s="7" t="s">
        <v>1196</v>
      </c>
      <c r="C152" s="112" t="s">
        <v>281</v>
      </c>
      <c r="D152" s="476" t="s">
        <v>409</v>
      </c>
    </row>
    <row r="153" spans="1:4" ht="12.75">
      <c r="A153" s="112" t="str">
        <f t="shared" si="4"/>
        <v>Wapiti inkl. Jungtiere, 1 Einheit=2 Tiere</v>
      </c>
      <c r="B153" s="7" t="s">
        <v>1197</v>
      </c>
      <c r="C153" s="112" t="s">
        <v>282</v>
      </c>
      <c r="D153" s="476" t="s">
        <v>410</v>
      </c>
    </row>
    <row r="154" spans="1:4" ht="12.75">
      <c r="A154" s="112" t="str">
        <f t="shared" si="4"/>
        <v>Bisons über 3-jährig</v>
      </c>
      <c r="B154" s="7" t="s">
        <v>56</v>
      </c>
      <c r="C154" s="7" t="s">
        <v>63</v>
      </c>
      <c r="D154" s="476" t="s">
        <v>411</v>
      </c>
    </row>
    <row r="155" spans="1:4" ht="12.75">
      <c r="A155" s="112" t="str">
        <f t="shared" si="4"/>
        <v>Bisons bis 3-jährig (Zucht u. Mast)</v>
      </c>
      <c r="B155" s="7" t="s">
        <v>57</v>
      </c>
      <c r="C155" s="7" t="s">
        <v>64</v>
      </c>
      <c r="D155" s="476" t="s">
        <v>412</v>
      </c>
    </row>
    <row r="156" spans="1:4" ht="12.75">
      <c r="A156" s="112" t="str">
        <f t="shared" si="4"/>
        <v>Lamas über 2-jährig</v>
      </c>
      <c r="B156" s="7" t="s">
        <v>58</v>
      </c>
      <c r="C156" s="7" t="s">
        <v>65</v>
      </c>
      <c r="D156" s="476" t="s">
        <v>413</v>
      </c>
    </row>
    <row r="157" spans="1:4" ht="12.75">
      <c r="A157" s="112" t="str">
        <f t="shared" si="4"/>
        <v>Lamas unter 2-jährig</v>
      </c>
      <c r="B157" s="7" t="s">
        <v>59</v>
      </c>
      <c r="C157" s="7" t="s">
        <v>66</v>
      </c>
      <c r="D157" s="476" t="s">
        <v>414</v>
      </c>
    </row>
    <row r="158" spans="1:4" ht="12.75">
      <c r="A158" s="112" t="str">
        <f t="shared" si="4"/>
        <v>Alpakas über 2-jährig</v>
      </c>
      <c r="B158" s="7" t="s">
        <v>60</v>
      </c>
      <c r="C158" s="7" t="s">
        <v>67</v>
      </c>
      <c r="D158" s="476" t="s">
        <v>415</v>
      </c>
    </row>
    <row r="159" spans="1:4" ht="12.75">
      <c r="A159" s="112" t="str">
        <f t="shared" si="4"/>
        <v>Alpakas unter 2-jährig</v>
      </c>
      <c r="B159" s="7" t="s">
        <v>61</v>
      </c>
      <c r="C159" s="7" t="s">
        <v>1125</v>
      </c>
      <c r="D159" s="476" t="s">
        <v>416</v>
      </c>
    </row>
    <row r="160" spans="1:4" ht="12.75">
      <c r="A160" s="112" t="str">
        <f t="shared" si="4"/>
        <v>übrige Tierkategorien mit GF-Verzehr</v>
      </c>
      <c r="B160" s="7" t="s">
        <v>107</v>
      </c>
      <c r="C160" s="7" t="s">
        <v>237</v>
      </c>
      <c r="D160" s="476" t="s">
        <v>417</v>
      </c>
    </row>
    <row r="161" spans="1:4" ht="12.75">
      <c r="A161" s="112" t="str">
        <f t="shared" si="4"/>
        <v>Kaninchen, Zibben inkl. Jungtiere bis 35 d</v>
      </c>
      <c r="B161" s="7" t="s">
        <v>283</v>
      </c>
      <c r="C161" s="7" t="s">
        <v>1131</v>
      </c>
      <c r="D161" s="476" t="s">
        <v>555</v>
      </c>
    </row>
    <row r="162" spans="1:4" ht="12.75">
      <c r="A162" s="112" t="str">
        <f t="shared" si="4"/>
        <v>Kaninchen, Jungtiere ab ca 35 Tagen</v>
      </c>
      <c r="B162" s="7" t="s">
        <v>284</v>
      </c>
      <c r="C162" s="112" t="s">
        <v>285</v>
      </c>
      <c r="D162" s="476" t="s">
        <v>556</v>
      </c>
    </row>
    <row r="163" spans="1:4" ht="12.75">
      <c r="A163" s="112" t="str">
        <f t="shared" si="4"/>
        <v>Strausse &gt; 13 Monate</v>
      </c>
      <c r="B163" s="7" t="s">
        <v>950</v>
      </c>
      <c r="C163" s="7" t="s">
        <v>1105</v>
      </c>
      <c r="D163" s="476" t="s">
        <v>418</v>
      </c>
    </row>
    <row r="164" spans="1:4" ht="12.75">
      <c r="A164" s="112" t="str">
        <f t="shared" si="4"/>
        <v>Strausse &lt; 13 Monate</v>
      </c>
      <c r="B164" s="7" t="s">
        <v>951</v>
      </c>
      <c r="C164" s="7" t="s">
        <v>1106</v>
      </c>
      <c r="D164" s="476" t="s">
        <v>419</v>
      </c>
    </row>
    <row r="165" spans="1:4" ht="12.75">
      <c r="A165" s="112" t="str">
        <f t="shared" si="4"/>
        <v>Mastschweineplatz / Remonten (25-100 kg)</v>
      </c>
      <c r="B165" s="7" t="s">
        <v>108</v>
      </c>
      <c r="C165" s="7" t="s">
        <v>109</v>
      </c>
      <c r="D165" s="476" t="s">
        <v>420</v>
      </c>
    </row>
    <row r="166" spans="1:4" ht="12.75">
      <c r="A166" s="112" t="str">
        <f t="shared" si="4"/>
        <v>Mastschweine / Remonten (25-100 kg)</v>
      </c>
      <c r="B166" s="7" t="s">
        <v>1204</v>
      </c>
      <c r="C166" s="7" t="s">
        <v>1199</v>
      </c>
      <c r="D166" s="476" t="s">
        <v>421</v>
      </c>
    </row>
    <row r="167" spans="1:4" ht="12.75">
      <c r="A167" s="112" t="str">
        <f t="shared" si="4"/>
        <v>Zuchtschweine inkl. Ferkel 25-30 kg</v>
      </c>
      <c r="B167" s="7" t="s">
        <v>1203</v>
      </c>
      <c r="C167" s="7" t="s">
        <v>112</v>
      </c>
      <c r="D167" s="476" t="s">
        <v>422</v>
      </c>
    </row>
    <row r="168" spans="1:4" ht="12.75">
      <c r="A168" s="112" t="str">
        <f t="shared" si="4"/>
        <v>Galtsauenplatz</v>
      </c>
      <c r="B168" s="7" t="s">
        <v>110</v>
      </c>
      <c r="C168" s="7" t="s">
        <v>1126</v>
      </c>
      <c r="D168" s="476" t="s">
        <v>423</v>
      </c>
    </row>
    <row r="169" spans="1:4" ht="12.75">
      <c r="A169" s="112" t="str">
        <f t="shared" si="4"/>
        <v>Galtsauen, pro Umtrieb</v>
      </c>
      <c r="B169" s="7" t="s">
        <v>1200</v>
      </c>
      <c r="C169" s="7" t="s">
        <v>1127</v>
      </c>
      <c r="D169" s="476" t="s">
        <v>424</v>
      </c>
    </row>
    <row r="170" spans="1:4" ht="12.75">
      <c r="A170" s="112" t="str">
        <f t="shared" si="4"/>
        <v>Zuchtschweine, säugend</v>
      </c>
      <c r="B170" s="7" t="s">
        <v>21</v>
      </c>
      <c r="C170" s="7" t="s">
        <v>1128</v>
      </c>
      <c r="D170" s="476" t="s">
        <v>425</v>
      </c>
    </row>
    <row r="171" spans="1:4" ht="12.75">
      <c r="A171" s="112" t="str">
        <f t="shared" si="4"/>
        <v>Zuchtschweine, säugend, pro Umtrieb</v>
      </c>
      <c r="B171" s="7" t="s">
        <v>1201</v>
      </c>
      <c r="C171" s="7" t="s">
        <v>1129</v>
      </c>
      <c r="D171" s="476" t="s">
        <v>426</v>
      </c>
    </row>
    <row r="172" spans="1:4" ht="12.75">
      <c r="A172" s="112" t="str">
        <f t="shared" si="4"/>
        <v>Zuchteber</v>
      </c>
      <c r="B172" s="7" t="s">
        <v>20</v>
      </c>
      <c r="C172" s="7" t="s">
        <v>1130</v>
      </c>
      <c r="D172" s="476" t="s">
        <v>427</v>
      </c>
    </row>
    <row r="173" spans="1:4" ht="12.75">
      <c r="A173" s="112" t="str">
        <f t="shared" si="4"/>
        <v>Ferkel abgesetzt bis 25-30 kg</v>
      </c>
      <c r="B173" s="7" t="s">
        <v>1202</v>
      </c>
      <c r="C173" s="7" t="s">
        <v>1107</v>
      </c>
      <c r="D173" s="476" t="s">
        <v>428</v>
      </c>
    </row>
    <row r="174" spans="1:4" ht="12.75">
      <c r="A174" s="112" t="str">
        <f t="shared" si="4"/>
        <v>Ferkel abgesetzt bis 25-30 kg</v>
      </c>
      <c r="B174" s="7" t="s">
        <v>1202</v>
      </c>
      <c r="C174" s="7" t="s">
        <v>1107</v>
      </c>
      <c r="D174" s="476" t="s">
        <v>428</v>
      </c>
    </row>
    <row r="175" spans="1:4" ht="12.75">
      <c r="A175" s="112" t="str">
        <f t="shared" si="4"/>
        <v>Nachweis nötig!</v>
      </c>
      <c r="B175" s="7" t="s">
        <v>945</v>
      </c>
      <c r="C175" s="7" t="s">
        <v>220</v>
      </c>
      <c r="D175" s="476" t="s">
        <v>429</v>
      </c>
    </row>
    <row r="176" spans="1:4" ht="12.75">
      <c r="A176" s="112" t="str">
        <f t="shared" si="4"/>
        <v>GF-Verzehr zu hoch!</v>
      </c>
      <c r="B176" s="7" t="s">
        <v>111</v>
      </c>
      <c r="C176" s="510" t="s">
        <v>221</v>
      </c>
      <c r="D176" s="476" t="s">
        <v>430</v>
      </c>
    </row>
    <row r="177" spans="1:4" ht="12.75">
      <c r="A177" s="112" t="str">
        <f t="shared" si="4"/>
        <v>Ganzjahresbetrieb</v>
      </c>
      <c r="B177" s="7" t="s">
        <v>1006</v>
      </c>
      <c r="C177" s="510" t="s">
        <v>1007</v>
      </c>
      <c r="D177" s="599" t="s">
        <v>465</v>
      </c>
    </row>
    <row r="178" spans="1:256" s="112" customFormat="1" ht="12.75">
      <c r="A178" s="112" t="str">
        <f t="shared" si="4"/>
        <v>A1: Grundfutterverzehr aller Tiere</v>
      </c>
      <c r="B178" s="7" t="s">
        <v>932</v>
      </c>
      <c r="C178" s="628" t="s">
        <v>239</v>
      </c>
      <c r="D178" s="476" t="s">
        <v>431</v>
      </c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4"/>
      <c r="CP178" s="114"/>
      <c r="CQ178" s="114"/>
      <c r="CR178" s="114"/>
      <c r="CS178" s="114"/>
      <c r="CT178" s="114"/>
      <c r="CU178" s="114"/>
      <c r="CV178" s="114"/>
      <c r="CW178" s="114"/>
      <c r="CX178" s="114"/>
      <c r="CY178" s="114"/>
      <c r="CZ178" s="114"/>
      <c r="DA178" s="114"/>
      <c r="DB178" s="114"/>
      <c r="DC178" s="114"/>
      <c r="DD178" s="114"/>
      <c r="DE178" s="114"/>
      <c r="DF178" s="114"/>
      <c r="DG178" s="114"/>
      <c r="DH178" s="114"/>
      <c r="DI178" s="114"/>
      <c r="DJ178" s="114"/>
      <c r="DK178" s="114"/>
      <c r="DL178" s="114"/>
      <c r="DM178" s="114"/>
      <c r="DN178" s="114"/>
      <c r="DO178" s="114"/>
      <c r="DP178" s="114"/>
      <c r="DQ178" s="114"/>
      <c r="DR178" s="114"/>
      <c r="DS178" s="114"/>
      <c r="DT178" s="114"/>
      <c r="DU178" s="114"/>
      <c r="DV178" s="114"/>
      <c r="DW178" s="114"/>
      <c r="DX178" s="114"/>
      <c r="DY178" s="114"/>
      <c r="DZ178" s="114"/>
      <c r="EA178" s="114"/>
      <c r="EB178" s="114"/>
      <c r="EC178" s="114"/>
      <c r="ED178" s="114"/>
      <c r="EE178" s="114"/>
      <c r="EF178" s="114"/>
      <c r="EG178" s="114"/>
      <c r="EH178" s="114"/>
      <c r="EI178" s="114"/>
      <c r="EJ178" s="114"/>
      <c r="EK178" s="114"/>
      <c r="EL178" s="114"/>
      <c r="EM178" s="114"/>
      <c r="EN178" s="114"/>
      <c r="EO178" s="114"/>
      <c r="EP178" s="114"/>
      <c r="EQ178" s="114"/>
      <c r="ER178" s="114"/>
      <c r="ES178" s="114"/>
      <c r="ET178" s="114"/>
      <c r="EU178" s="114"/>
      <c r="EV178" s="114"/>
      <c r="EW178" s="114"/>
      <c r="EX178" s="114"/>
      <c r="EY178" s="114"/>
      <c r="EZ178" s="114"/>
      <c r="FA178" s="114"/>
      <c r="FB178" s="114"/>
      <c r="FC178" s="114"/>
      <c r="FD178" s="114"/>
      <c r="FE178" s="114"/>
      <c r="FF178" s="114"/>
      <c r="FG178" s="114"/>
      <c r="FH178" s="114"/>
      <c r="FI178" s="114"/>
      <c r="FJ178" s="114"/>
      <c r="FK178" s="114"/>
      <c r="FL178" s="114"/>
      <c r="FM178" s="114"/>
      <c r="FN178" s="114"/>
      <c r="FO178" s="114"/>
      <c r="FP178" s="114"/>
      <c r="FQ178" s="114"/>
      <c r="FR178" s="114"/>
      <c r="FS178" s="114"/>
      <c r="FT178" s="114"/>
      <c r="FU178" s="114"/>
      <c r="FV178" s="114"/>
      <c r="FW178" s="114"/>
      <c r="FX178" s="114"/>
      <c r="FY178" s="114"/>
      <c r="FZ178" s="114"/>
      <c r="GA178" s="114"/>
      <c r="GB178" s="114"/>
      <c r="GC178" s="114"/>
      <c r="GD178" s="114"/>
      <c r="GE178" s="114"/>
      <c r="GF178" s="114"/>
      <c r="GG178" s="114"/>
      <c r="GH178" s="114"/>
      <c r="GI178" s="114"/>
      <c r="GJ178" s="114"/>
      <c r="GK178" s="114"/>
      <c r="GL178" s="114"/>
      <c r="GM178" s="114"/>
      <c r="GN178" s="114"/>
      <c r="GO178" s="114"/>
      <c r="GP178" s="114"/>
      <c r="GQ178" s="114"/>
      <c r="GR178" s="114"/>
      <c r="GS178" s="114"/>
      <c r="GT178" s="114"/>
      <c r="GU178" s="114"/>
      <c r="GV178" s="114"/>
      <c r="GW178" s="114"/>
      <c r="GX178" s="114"/>
      <c r="GY178" s="114"/>
      <c r="GZ178" s="114"/>
      <c r="HA178" s="114"/>
      <c r="HB178" s="114"/>
      <c r="HC178" s="114"/>
      <c r="HD178" s="114"/>
      <c r="HE178" s="114"/>
      <c r="HF178" s="114"/>
      <c r="HG178" s="114"/>
      <c r="HH178" s="114"/>
      <c r="HI178" s="114"/>
      <c r="HJ178" s="114"/>
      <c r="HK178" s="114"/>
      <c r="HL178" s="114"/>
      <c r="HM178" s="114"/>
      <c r="HN178" s="114"/>
      <c r="HO178" s="114"/>
      <c r="HP178" s="114"/>
      <c r="HQ178" s="114"/>
      <c r="HR178" s="114"/>
      <c r="HS178" s="114"/>
      <c r="HT178" s="114"/>
      <c r="HU178" s="114"/>
      <c r="HV178" s="114"/>
      <c r="HW178" s="114"/>
      <c r="HX178" s="114"/>
      <c r="HY178" s="114"/>
      <c r="HZ178" s="114"/>
      <c r="IA178" s="114"/>
      <c r="IB178" s="114"/>
      <c r="IC178" s="114"/>
      <c r="ID178" s="114"/>
      <c r="IE178" s="114"/>
      <c r="IF178" s="114"/>
      <c r="IG178" s="114"/>
      <c r="IH178" s="114"/>
      <c r="II178" s="114"/>
      <c r="IJ178" s="114"/>
      <c r="IK178" s="114"/>
      <c r="IL178" s="114"/>
      <c r="IM178" s="114"/>
      <c r="IN178" s="114"/>
      <c r="IO178" s="114"/>
      <c r="IP178" s="114"/>
      <c r="IQ178" s="114"/>
      <c r="IR178" s="114"/>
      <c r="IS178" s="114"/>
      <c r="IT178" s="114"/>
      <c r="IU178" s="114"/>
      <c r="IV178" s="114"/>
    </row>
    <row r="179" spans="1:256" s="112" customFormat="1" ht="12.75">
      <c r="A179" s="112" t="str">
        <f t="shared" si="4"/>
        <v>A2: Grundfutterverzehr Raufutterverzehrer</v>
      </c>
      <c r="B179" s="7" t="s">
        <v>947</v>
      </c>
      <c r="C179" s="629" t="s">
        <v>240</v>
      </c>
      <c r="D179" s="476" t="s">
        <v>432</v>
      </c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4"/>
      <c r="CP179" s="114"/>
      <c r="CQ179" s="114"/>
      <c r="CR179" s="114"/>
      <c r="CS179" s="114"/>
      <c r="CT179" s="114"/>
      <c r="CU179" s="114"/>
      <c r="CV179" s="114"/>
      <c r="CW179" s="114"/>
      <c r="CX179" s="114"/>
      <c r="CY179" s="114"/>
      <c r="CZ179" s="114"/>
      <c r="DA179" s="114"/>
      <c r="DB179" s="114"/>
      <c r="DC179" s="114"/>
      <c r="DD179" s="114"/>
      <c r="DE179" s="114"/>
      <c r="DF179" s="114"/>
      <c r="DG179" s="114"/>
      <c r="DH179" s="114"/>
      <c r="DI179" s="114"/>
      <c r="DJ179" s="114"/>
      <c r="DK179" s="114"/>
      <c r="DL179" s="114"/>
      <c r="DM179" s="114"/>
      <c r="DN179" s="114"/>
      <c r="DO179" s="114"/>
      <c r="DP179" s="114"/>
      <c r="DQ179" s="114"/>
      <c r="DR179" s="114"/>
      <c r="DS179" s="114"/>
      <c r="DT179" s="114"/>
      <c r="DU179" s="114"/>
      <c r="DV179" s="114"/>
      <c r="DW179" s="114"/>
      <c r="DX179" s="114"/>
      <c r="DY179" s="114"/>
      <c r="DZ179" s="114"/>
      <c r="EA179" s="114"/>
      <c r="EB179" s="114"/>
      <c r="EC179" s="114"/>
      <c r="ED179" s="114"/>
      <c r="EE179" s="114"/>
      <c r="EF179" s="114"/>
      <c r="EG179" s="114"/>
      <c r="EH179" s="114"/>
      <c r="EI179" s="114"/>
      <c r="EJ179" s="114"/>
      <c r="EK179" s="114"/>
      <c r="EL179" s="114"/>
      <c r="EM179" s="114"/>
      <c r="EN179" s="114"/>
      <c r="EO179" s="114"/>
      <c r="EP179" s="114"/>
      <c r="EQ179" s="114"/>
      <c r="ER179" s="114"/>
      <c r="ES179" s="114"/>
      <c r="ET179" s="114"/>
      <c r="EU179" s="114"/>
      <c r="EV179" s="114"/>
      <c r="EW179" s="114"/>
      <c r="EX179" s="114"/>
      <c r="EY179" s="114"/>
      <c r="EZ179" s="114"/>
      <c r="FA179" s="114"/>
      <c r="FB179" s="114"/>
      <c r="FC179" s="114"/>
      <c r="FD179" s="114"/>
      <c r="FE179" s="114"/>
      <c r="FF179" s="114"/>
      <c r="FG179" s="114"/>
      <c r="FH179" s="114"/>
      <c r="FI179" s="114"/>
      <c r="FJ179" s="114"/>
      <c r="FK179" s="114"/>
      <c r="FL179" s="114"/>
      <c r="FM179" s="114"/>
      <c r="FN179" s="114"/>
      <c r="FO179" s="114"/>
      <c r="FP179" s="114"/>
      <c r="FQ179" s="114"/>
      <c r="FR179" s="114"/>
      <c r="FS179" s="114"/>
      <c r="FT179" s="114"/>
      <c r="FU179" s="114"/>
      <c r="FV179" s="114"/>
      <c r="FW179" s="114"/>
      <c r="FX179" s="114"/>
      <c r="FY179" s="114"/>
      <c r="FZ179" s="114"/>
      <c r="GA179" s="114"/>
      <c r="GB179" s="114"/>
      <c r="GC179" s="114"/>
      <c r="GD179" s="114"/>
      <c r="GE179" s="114"/>
      <c r="GF179" s="114"/>
      <c r="GG179" s="114"/>
      <c r="GH179" s="114"/>
      <c r="GI179" s="114"/>
      <c r="GJ179" s="114"/>
      <c r="GK179" s="114"/>
      <c r="GL179" s="114"/>
      <c r="GM179" s="114"/>
      <c r="GN179" s="114"/>
      <c r="GO179" s="114"/>
      <c r="GP179" s="114"/>
      <c r="GQ179" s="114"/>
      <c r="GR179" s="114"/>
      <c r="GS179" s="114"/>
      <c r="GT179" s="114"/>
      <c r="GU179" s="114"/>
      <c r="GV179" s="114"/>
      <c r="GW179" s="114"/>
      <c r="GX179" s="114"/>
      <c r="GY179" s="114"/>
      <c r="GZ179" s="114"/>
      <c r="HA179" s="114"/>
      <c r="HB179" s="114"/>
      <c r="HC179" s="114"/>
      <c r="HD179" s="114"/>
      <c r="HE179" s="114"/>
      <c r="HF179" s="114"/>
      <c r="HG179" s="114"/>
      <c r="HH179" s="114"/>
      <c r="HI179" s="114"/>
      <c r="HJ179" s="114"/>
      <c r="HK179" s="114"/>
      <c r="HL179" s="114"/>
      <c r="HM179" s="114"/>
      <c r="HN179" s="114"/>
      <c r="HO179" s="114"/>
      <c r="HP179" s="114"/>
      <c r="HQ179" s="114"/>
      <c r="HR179" s="114"/>
      <c r="HS179" s="114"/>
      <c r="HT179" s="114"/>
      <c r="HU179" s="114"/>
      <c r="HV179" s="114"/>
      <c r="HW179" s="114"/>
      <c r="HX179" s="114"/>
      <c r="HY179" s="114"/>
      <c r="HZ179" s="114"/>
      <c r="IA179" s="114"/>
      <c r="IB179" s="114"/>
      <c r="IC179" s="114"/>
      <c r="ID179" s="114"/>
      <c r="IE179" s="114"/>
      <c r="IF179" s="114"/>
      <c r="IG179" s="114"/>
      <c r="IH179" s="114"/>
      <c r="II179" s="114"/>
      <c r="IJ179" s="114"/>
      <c r="IK179" s="114"/>
      <c r="IL179" s="114"/>
      <c r="IM179" s="114"/>
      <c r="IN179" s="114"/>
      <c r="IO179" s="114"/>
      <c r="IP179" s="114"/>
      <c r="IQ179" s="114"/>
      <c r="IR179" s="114"/>
      <c r="IS179" s="114"/>
      <c r="IT179" s="114"/>
      <c r="IU179" s="114"/>
      <c r="IV179" s="114"/>
    </row>
    <row r="180" spans="1:256" s="112" customFormat="1" ht="12.75">
      <c r="A180" s="112" t="str">
        <f t="shared" si="4"/>
        <v>A3: Grundfutterverzehr übrige Tiere</v>
      </c>
      <c r="B180" s="7" t="s">
        <v>946</v>
      </c>
      <c r="C180" s="628" t="s">
        <v>241</v>
      </c>
      <c r="D180" s="476" t="s">
        <v>433</v>
      </c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4"/>
      <c r="DF180" s="114"/>
      <c r="DG180" s="114"/>
      <c r="DH180" s="114"/>
      <c r="DI180" s="114"/>
      <c r="DJ180" s="114"/>
      <c r="DK180" s="114"/>
      <c r="DL180" s="114"/>
      <c r="DM180" s="114"/>
      <c r="DN180" s="114"/>
      <c r="DO180" s="114"/>
      <c r="DP180" s="114"/>
      <c r="DQ180" s="114"/>
      <c r="DR180" s="114"/>
      <c r="DS180" s="114"/>
      <c r="DT180" s="114"/>
      <c r="DU180" s="114"/>
      <c r="DV180" s="114"/>
      <c r="DW180" s="114"/>
      <c r="DX180" s="114"/>
      <c r="DY180" s="114"/>
      <c r="DZ180" s="114"/>
      <c r="EA180" s="114"/>
      <c r="EB180" s="114"/>
      <c r="EC180" s="114"/>
      <c r="ED180" s="114"/>
      <c r="EE180" s="114"/>
      <c r="EF180" s="114"/>
      <c r="EG180" s="114"/>
      <c r="EH180" s="114"/>
      <c r="EI180" s="114"/>
      <c r="EJ180" s="114"/>
      <c r="EK180" s="114"/>
      <c r="EL180" s="114"/>
      <c r="EM180" s="114"/>
      <c r="EN180" s="114"/>
      <c r="EO180" s="114"/>
      <c r="EP180" s="114"/>
      <c r="EQ180" s="114"/>
      <c r="ER180" s="114"/>
      <c r="ES180" s="114"/>
      <c r="ET180" s="114"/>
      <c r="EU180" s="114"/>
      <c r="EV180" s="114"/>
      <c r="EW180" s="114"/>
      <c r="EX180" s="114"/>
      <c r="EY180" s="114"/>
      <c r="EZ180" s="114"/>
      <c r="FA180" s="114"/>
      <c r="FB180" s="114"/>
      <c r="FC180" s="114"/>
      <c r="FD180" s="114"/>
      <c r="FE180" s="114"/>
      <c r="FF180" s="114"/>
      <c r="FG180" s="114"/>
      <c r="FH180" s="114"/>
      <c r="FI180" s="114"/>
      <c r="FJ180" s="114"/>
      <c r="FK180" s="114"/>
      <c r="FL180" s="114"/>
      <c r="FM180" s="114"/>
      <c r="FN180" s="114"/>
      <c r="FO180" s="114"/>
      <c r="FP180" s="114"/>
      <c r="FQ180" s="114"/>
      <c r="FR180" s="114"/>
      <c r="FS180" s="114"/>
      <c r="FT180" s="114"/>
      <c r="FU180" s="114"/>
      <c r="FV180" s="114"/>
      <c r="FW180" s="114"/>
      <c r="FX180" s="114"/>
      <c r="FY180" s="114"/>
      <c r="FZ180" s="114"/>
      <c r="GA180" s="114"/>
      <c r="GB180" s="114"/>
      <c r="GC180" s="114"/>
      <c r="GD180" s="114"/>
      <c r="GE180" s="114"/>
      <c r="GF180" s="114"/>
      <c r="GG180" s="114"/>
      <c r="GH180" s="114"/>
      <c r="GI180" s="114"/>
      <c r="GJ180" s="114"/>
      <c r="GK180" s="114"/>
      <c r="GL180" s="114"/>
      <c r="GM180" s="114"/>
      <c r="GN180" s="114"/>
      <c r="GO180" s="114"/>
      <c r="GP180" s="114"/>
      <c r="GQ180" s="114"/>
      <c r="GR180" s="114"/>
      <c r="GS180" s="114"/>
      <c r="GT180" s="114"/>
      <c r="GU180" s="114"/>
      <c r="GV180" s="114"/>
      <c r="GW180" s="114"/>
      <c r="GX180" s="114"/>
      <c r="GY180" s="114"/>
      <c r="GZ180" s="114"/>
      <c r="HA180" s="114"/>
      <c r="HB180" s="114"/>
      <c r="HC180" s="114"/>
      <c r="HD180" s="114"/>
      <c r="HE180" s="114"/>
      <c r="HF180" s="114"/>
      <c r="HG180" s="114"/>
      <c r="HH180" s="114"/>
      <c r="HI180" s="114"/>
      <c r="HJ180" s="114"/>
      <c r="HK180" s="114"/>
      <c r="HL180" s="114"/>
      <c r="HM180" s="114"/>
      <c r="HN180" s="114"/>
      <c r="HO180" s="114"/>
      <c r="HP180" s="114"/>
      <c r="HQ180" s="114"/>
      <c r="HR180" s="114"/>
      <c r="HS180" s="114"/>
      <c r="HT180" s="114"/>
      <c r="HU180" s="114"/>
      <c r="HV180" s="114"/>
      <c r="HW180" s="114"/>
      <c r="HX180" s="114"/>
      <c r="HY180" s="114"/>
      <c r="HZ180" s="114"/>
      <c r="IA180" s="114"/>
      <c r="IB180" s="114"/>
      <c r="IC180" s="114"/>
      <c r="ID180" s="114"/>
      <c r="IE180" s="114"/>
      <c r="IF180" s="114"/>
      <c r="IG180" s="114"/>
      <c r="IH180" s="114"/>
      <c r="II180" s="114"/>
      <c r="IJ180" s="114"/>
      <c r="IK180" s="114"/>
      <c r="IL180" s="114"/>
      <c r="IM180" s="114"/>
      <c r="IN180" s="114"/>
      <c r="IO180" s="114"/>
      <c r="IP180" s="114"/>
      <c r="IQ180" s="114"/>
      <c r="IR180" s="114"/>
      <c r="IS180" s="114"/>
      <c r="IT180" s="114"/>
      <c r="IU180" s="114"/>
      <c r="IV180" s="114"/>
    </row>
    <row r="181" spans="1:256" s="112" customFormat="1" ht="12.75">
      <c r="A181" s="112" t="str">
        <f t="shared" si="4"/>
        <v>A4: Kraftfutterverzehr der berechtigten Kategorien</v>
      </c>
      <c r="B181" s="7" t="s">
        <v>933</v>
      </c>
      <c r="C181" s="628" t="s">
        <v>222</v>
      </c>
      <c r="D181" s="476" t="s">
        <v>434</v>
      </c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4"/>
      <c r="CH181" s="114"/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4"/>
      <c r="DF181" s="114"/>
      <c r="DG181" s="114"/>
      <c r="DH181" s="114"/>
      <c r="DI181" s="114"/>
      <c r="DJ181" s="114"/>
      <c r="DK181" s="114"/>
      <c r="DL181" s="114"/>
      <c r="DM181" s="114"/>
      <c r="DN181" s="114"/>
      <c r="DO181" s="114"/>
      <c r="DP181" s="114"/>
      <c r="DQ181" s="114"/>
      <c r="DR181" s="114"/>
      <c r="DS181" s="114"/>
      <c r="DT181" s="114"/>
      <c r="DU181" s="114"/>
      <c r="DV181" s="114"/>
      <c r="DW181" s="114"/>
      <c r="DX181" s="114"/>
      <c r="DY181" s="114"/>
      <c r="DZ181" s="114"/>
      <c r="EA181" s="114"/>
      <c r="EB181" s="114"/>
      <c r="EC181" s="114"/>
      <c r="ED181" s="114"/>
      <c r="EE181" s="114"/>
      <c r="EF181" s="114"/>
      <c r="EG181" s="114"/>
      <c r="EH181" s="114"/>
      <c r="EI181" s="114"/>
      <c r="EJ181" s="114"/>
      <c r="EK181" s="114"/>
      <c r="EL181" s="114"/>
      <c r="EM181" s="114"/>
      <c r="EN181" s="114"/>
      <c r="EO181" s="114"/>
      <c r="EP181" s="114"/>
      <c r="EQ181" s="114"/>
      <c r="ER181" s="114"/>
      <c r="ES181" s="114"/>
      <c r="ET181" s="114"/>
      <c r="EU181" s="114"/>
      <c r="EV181" s="114"/>
      <c r="EW181" s="114"/>
      <c r="EX181" s="114"/>
      <c r="EY181" s="114"/>
      <c r="EZ181" s="114"/>
      <c r="FA181" s="114"/>
      <c r="FB181" s="114"/>
      <c r="FC181" s="114"/>
      <c r="FD181" s="114"/>
      <c r="FE181" s="114"/>
      <c r="FF181" s="114"/>
      <c r="FG181" s="114"/>
      <c r="FH181" s="114"/>
      <c r="FI181" s="114"/>
      <c r="FJ181" s="114"/>
      <c r="FK181" s="114"/>
      <c r="FL181" s="114"/>
      <c r="FM181" s="114"/>
      <c r="FN181" s="114"/>
      <c r="FO181" s="114"/>
      <c r="FP181" s="114"/>
      <c r="FQ181" s="114"/>
      <c r="FR181" s="114"/>
      <c r="FS181" s="114"/>
      <c r="FT181" s="114"/>
      <c r="FU181" s="114"/>
      <c r="FV181" s="114"/>
      <c r="FW181" s="114"/>
      <c r="FX181" s="114"/>
      <c r="FY181" s="114"/>
      <c r="FZ181" s="114"/>
      <c r="GA181" s="114"/>
      <c r="GB181" s="114"/>
      <c r="GC181" s="114"/>
      <c r="GD181" s="114"/>
      <c r="GE181" s="114"/>
      <c r="GF181" s="114"/>
      <c r="GG181" s="114"/>
      <c r="GH181" s="114"/>
      <c r="GI181" s="114"/>
      <c r="GJ181" s="114"/>
      <c r="GK181" s="114"/>
      <c r="GL181" s="114"/>
      <c r="GM181" s="114"/>
      <c r="GN181" s="114"/>
      <c r="GO181" s="114"/>
      <c r="GP181" s="114"/>
      <c r="GQ181" s="114"/>
      <c r="GR181" s="114"/>
      <c r="GS181" s="114"/>
      <c r="GT181" s="114"/>
      <c r="GU181" s="114"/>
      <c r="GV181" s="114"/>
      <c r="GW181" s="114"/>
      <c r="GX181" s="114"/>
      <c r="GY181" s="114"/>
      <c r="GZ181" s="114"/>
      <c r="HA181" s="114"/>
      <c r="HB181" s="114"/>
      <c r="HC181" s="114"/>
      <c r="HD181" s="114"/>
      <c r="HE181" s="114"/>
      <c r="HF181" s="114"/>
      <c r="HG181" s="114"/>
      <c r="HH181" s="114"/>
      <c r="HI181" s="114"/>
      <c r="HJ181" s="114"/>
      <c r="HK181" s="114"/>
      <c r="HL181" s="114"/>
      <c r="HM181" s="114"/>
      <c r="HN181" s="114"/>
      <c r="HO181" s="114"/>
      <c r="HP181" s="114"/>
      <c r="HQ181" s="114"/>
      <c r="HR181" s="114"/>
      <c r="HS181" s="114"/>
      <c r="HT181" s="114"/>
      <c r="HU181" s="114"/>
      <c r="HV181" s="114"/>
      <c r="HW181" s="114"/>
      <c r="HX181" s="114"/>
      <c r="HY181" s="114"/>
      <c r="HZ181" s="114"/>
      <c r="IA181" s="114"/>
      <c r="IB181" s="114"/>
      <c r="IC181" s="114"/>
      <c r="ID181" s="114"/>
      <c r="IE181" s="114"/>
      <c r="IF181" s="114"/>
      <c r="IG181" s="114"/>
      <c r="IH181" s="114"/>
      <c r="II181" s="114"/>
      <c r="IJ181" s="114"/>
      <c r="IK181" s="114"/>
      <c r="IL181" s="114"/>
      <c r="IM181" s="114"/>
      <c r="IN181" s="114"/>
      <c r="IO181" s="114"/>
      <c r="IP181" s="114"/>
      <c r="IQ181" s="114"/>
      <c r="IR181" s="114"/>
      <c r="IS181" s="114"/>
      <c r="IT181" s="114"/>
      <c r="IU181" s="114"/>
      <c r="IV181" s="114"/>
    </row>
    <row r="182" spans="1:256" s="112" customFormat="1" ht="12.75">
      <c r="A182" s="112" t="str">
        <f t="shared" si="4"/>
        <v>A5: Gesamtverzehr der Raufutterverzehrer</v>
      </c>
      <c r="B182" s="7" t="s">
        <v>948</v>
      </c>
      <c r="C182" s="629" t="s">
        <v>236</v>
      </c>
      <c r="D182" s="476" t="s">
        <v>435</v>
      </c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14"/>
      <c r="CG182" s="114"/>
      <c r="CH182" s="114"/>
      <c r="CI182" s="114"/>
      <c r="CJ182" s="114"/>
      <c r="CK182" s="114"/>
      <c r="CL182" s="114"/>
      <c r="CM182" s="114"/>
      <c r="CN182" s="114"/>
      <c r="CO182" s="114"/>
      <c r="CP182" s="114"/>
      <c r="CQ182" s="114"/>
      <c r="CR182" s="114"/>
      <c r="CS182" s="114"/>
      <c r="CT182" s="114"/>
      <c r="CU182" s="114"/>
      <c r="CV182" s="114"/>
      <c r="CW182" s="114"/>
      <c r="CX182" s="114"/>
      <c r="CY182" s="114"/>
      <c r="CZ182" s="114"/>
      <c r="DA182" s="114"/>
      <c r="DB182" s="114"/>
      <c r="DC182" s="114"/>
      <c r="DD182" s="114"/>
      <c r="DE182" s="114"/>
      <c r="DF182" s="114"/>
      <c r="DG182" s="114"/>
      <c r="DH182" s="114"/>
      <c r="DI182" s="114"/>
      <c r="DJ182" s="114"/>
      <c r="DK182" s="114"/>
      <c r="DL182" s="114"/>
      <c r="DM182" s="114"/>
      <c r="DN182" s="114"/>
      <c r="DO182" s="114"/>
      <c r="DP182" s="114"/>
      <c r="DQ182" s="114"/>
      <c r="DR182" s="114"/>
      <c r="DS182" s="114"/>
      <c r="DT182" s="114"/>
      <c r="DU182" s="114"/>
      <c r="DV182" s="114"/>
      <c r="DW182" s="114"/>
      <c r="DX182" s="114"/>
      <c r="DY182" s="114"/>
      <c r="DZ182" s="114"/>
      <c r="EA182" s="114"/>
      <c r="EB182" s="114"/>
      <c r="EC182" s="114"/>
      <c r="ED182" s="114"/>
      <c r="EE182" s="114"/>
      <c r="EF182" s="114"/>
      <c r="EG182" s="114"/>
      <c r="EH182" s="114"/>
      <c r="EI182" s="114"/>
      <c r="EJ182" s="114"/>
      <c r="EK182" s="114"/>
      <c r="EL182" s="114"/>
      <c r="EM182" s="114"/>
      <c r="EN182" s="114"/>
      <c r="EO182" s="114"/>
      <c r="EP182" s="114"/>
      <c r="EQ182" s="114"/>
      <c r="ER182" s="114"/>
      <c r="ES182" s="114"/>
      <c r="ET182" s="114"/>
      <c r="EU182" s="114"/>
      <c r="EV182" s="114"/>
      <c r="EW182" s="114"/>
      <c r="EX182" s="114"/>
      <c r="EY182" s="114"/>
      <c r="EZ182" s="114"/>
      <c r="FA182" s="114"/>
      <c r="FB182" s="114"/>
      <c r="FC182" s="114"/>
      <c r="FD182" s="114"/>
      <c r="FE182" s="114"/>
      <c r="FF182" s="114"/>
      <c r="FG182" s="114"/>
      <c r="FH182" s="114"/>
      <c r="FI182" s="114"/>
      <c r="FJ182" s="114"/>
      <c r="FK182" s="114"/>
      <c r="FL182" s="114"/>
      <c r="FM182" s="114"/>
      <c r="FN182" s="114"/>
      <c r="FO182" s="114"/>
      <c r="FP182" s="114"/>
      <c r="FQ182" s="114"/>
      <c r="FR182" s="114"/>
      <c r="FS182" s="114"/>
      <c r="FT182" s="114"/>
      <c r="FU182" s="114"/>
      <c r="FV182" s="114"/>
      <c r="FW182" s="114"/>
      <c r="FX182" s="114"/>
      <c r="FY182" s="114"/>
      <c r="FZ182" s="114"/>
      <c r="GA182" s="114"/>
      <c r="GB182" s="114"/>
      <c r="GC182" s="114"/>
      <c r="GD182" s="114"/>
      <c r="GE182" s="114"/>
      <c r="GF182" s="114"/>
      <c r="GG182" s="114"/>
      <c r="GH182" s="114"/>
      <c r="GI182" s="114"/>
      <c r="GJ182" s="114"/>
      <c r="GK182" s="114"/>
      <c r="GL182" s="114"/>
      <c r="GM182" s="114"/>
      <c r="GN182" s="114"/>
      <c r="GO182" s="114"/>
      <c r="GP182" s="114"/>
      <c r="GQ182" s="114"/>
      <c r="GR182" s="114"/>
      <c r="GS182" s="114"/>
      <c r="GT182" s="114"/>
      <c r="GU182" s="114"/>
      <c r="GV182" s="114"/>
      <c r="GW182" s="114"/>
      <c r="GX182" s="114"/>
      <c r="GY182" s="114"/>
      <c r="GZ182" s="114"/>
      <c r="HA182" s="114"/>
      <c r="HB182" s="114"/>
      <c r="HC182" s="114"/>
      <c r="HD182" s="114"/>
      <c r="HE182" s="114"/>
      <c r="HF182" s="114"/>
      <c r="HG182" s="114"/>
      <c r="HH182" s="114"/>
      <c r="HI182" s="114"/>
      <c r="HJ182" s="114"/>
      <c r="HK182" s="114"/>
      <c r="HL182" s="114"/>
      <c r="HM182" s="114"/>
      <c r="HN182" s="114"/>
      <c r="HO182" s="114"/>
      <c r="HP182" s="114"/>
      <c r="HQ182" s="114"/>
      <c r="HR182" s="114"/>
      <c r="HS182" s="114"/>
      <c r="HT182" s="114"/>
      <c r="HU182" s="114"/>
      <c r="HV182" s="114"/>
      <c r="HW182" s="114"/>
      <c r="HX182" s="114"/>
      <c r="HY182" s="114"/>
      <c r="HZ182" s="114"/>
      <c r="IA182" s="114"/>
      <c r="IB182" s="114"/>
      <c r="IC182" s="114"/>
      <c r="ID182" s="114"/>
      <c r="IE182" s="114"/>
      <c r="IF182" s="114"/>
      <c r="IG182" s="114"/>
      <c r="IH182" s="114"/>
      <c r="II182" s="114"/>
      <c r="IJ182" s="114"/>
      <c r="IK182" s="114"/>
      <c r="IL182" s="114"/>
      <c r="IM182" s="114"/>
      <c r="IN182" s="114"/>
      <c r="IO182" s="114"/>
      <c r="IP182" s="114"/>
      <c r="IQ182" s="114"/>
      <c r="IR182" s="114"/>
      <c r="IS182" s="114"/>
      <c r="IT182" s="114"/>
      <c r="IU182" s="114"/>
      <c r="IV182" s="114"/>
    </row>
    <row r="183" spans="1:256" s="112" customFormat="1" ht="12.75">
      <c r="A183" s="112" t="str">
        <f t="shared" si="4"/>
        <v>Sömmerung</v>
      </c>
      <c r="B183" s="7" t="s">
        <v>982</v>
      </c>
      <c r="C183" s="510" t="s">
        <v>983</v>
      </c>
      <c r="D183" s="596" t="s">
        <v>984</v>
      </c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  <c r="CJ183" s="114"/>
      <c r="CK183" s="114"/>
      <c r="CL183" s="114"/>
      <c r="CM183" s="114"/>
      <c r="CN183" s="114"/>
      <c r="CO183" s="114"/>
      <c r="CP183" s="114"/>
      <c r="CQ183" s="114"/>
      <c r="CR183" s="114"/>
      <c r="CS183" s="114"/>
      <c r="CT183" s="114"/>
      <c r="CU183" s="114"/>
      <c r="CV183" s="114"/>
      <c r="CW183" s="114"/>
      <c r="CX183" s="114"/>
      <c r="CY183" s="114"/>
      <c r="CZ183" s="114"/>
      <c r="DA183" s="114"/>
      <c r="DB183" s="114"/>
      <c r="DC183" s="114"/>
      <c r="DD183" s="114"/>
      <c r="DE183" s="114"/>
      <c r="DF183" s="114"/>
      <c r="DG183" s="114"/>
      <c r="DH183" s="114"/>
      <c r="DI183" s="114"/>
      <c r="DJ183" s="114"/>
      <c r="DK183" s="114"/>
      <c r="DL183" s="114"/>
      <c r="DM183" s="114"/>
      <c r="DN183" s="114"/>
      <c r="DO183" s="114"/>
      <c r="DP183" s="114"/>
      <c r="DQ183" s="114"/>
      <c r="DR183" s="114"/>
      <c r="DS183" s="114"/>
      <c r="DT183" s="114"/>
      <c r="DU183" s="114"/>
      <c r="DV183" s="114"/>
      <c r="DW183" s="114"/>
      <c r="DX183" s="114"/>
      <c r="DY183" s="114"/>
      <c r="DZ183" s="114"/>
      <c r="EA183" s="114"/>
      <c r="EB183" s="114"/>
      <c r="EC183" s="114"/>
      <c r="ED183" s="114"/>
      <c r="EE183" s="114"/>
      <c r="EF183" s="114"/>
      <c r="EG183" s="114"/>
      <c r="EH183" s="114"/>
      <c r="EI183" s="114"/>
      <c r="EJ183" s="114"/>
      <c r="EK183" s="114"/>
      <c r="EL183" s="114"/>
      <c r="EM183" s="114"/>
      <c r="EN183" s="114"/>
      <c r="EO183" s="114"/>
      <c r="EP183" s="114"/>
      <c r="EQ183" s="114"/>
      <c r="ER183" s="114"/>
      <c r="ES183" s="114"/>
      <c r="ET183" s="114"/>
      <c r="EU183" s="114"/>
      <c r="EV183" s="114"/>
      <c r="EW183" s="114"/>
      <c r="EX183" s="114"/>
      <c r="EY183" s="114"/>
      <c r="EZ183" s="114"/>
      <c r="FA183" s="114"/>
      <c r="FB183" s="114"/>
      <c r="FC183" s="114"/>
      <c r="FD183" s="114"/>
      <c r="FE183" s="114"/>
      <c r="FF183" s="114"/>
      <c r="FG183" s="114"/>
      <c r="FH183" s="114"/>
      <c r="FI183" s="114"/>
      <c r="FJ183" s="114"/>
      <c r="FK183" s="114"/>
      <c r="FL183" s="114"/>
      <c r="FM183" s="114"/>
      <c r="FN183" s="114"/>
      <c r="FO183" s="114"/>
      <c r="FP183" s="114"/>
      <c r="FQ183" s="114"/>
      <c r="FR183" s="114"/>
      <c r="FS183" s="114"/>
      <c r="FT183" s="114"/>
      <c r="FU183" s="114"/>
      <c r="FV183" s="114"/>
      <c r="FW183" s="114"/>
      <c r="FX183" s="114"/>
      <c r="FY183" s="114"/>
      <c r="FZ183" s="114"/>
      <c r="GA183" s="114"/>
      <c r="GB183" s="114"/>
      <c r="GC183" s="114"/>
      <c r="GD183" s="114"/>
      <c r="GE183" s="114"/>
      <c r="GF183" s="114"/>
      <c r="GG183" s="114"/>
      <c r="GH183" s="114"/>
      <c r="GI183" s="114"/>
      <c r="GJ183" s="114"/>
      <c r="GK183" s="114"/>
      <c r="GL183" s="114"/>
      <c r="GM183" s="114"/>
      <c r="GN183" s="114"/>
      <c r="GO183" s="114"/>
      <c r="GP183" s="114"/>
      <c r="GQ183" s="114"/>
      <c r="GR183" s="114"/>
      <c r="GS183" s="114"/>
      <c r="GT183" s="114"/>
      <c r="GU183" s="114"/>
      <c r="GV183" s="114"/>
      <c r="GW183" s="114"/>
      <c r="GX183" s="114"/>
      <c r="GY183" s="114"/>
      <c r="GZ183" s="114"/>
      <c r="HA183" s="114"/>
      <c r="HB183" s="114"/>
      <c r="HC183" s="114"/>
      <c r="HD183" s="114"/>
      <c r="HE183" s="114"/>
      <c r="HF183" s="114"/>
      <c r="HG183" s="114"/>
      <c r="HH183" s="114"/>
      <c r="HI183" s="114"/>
      <c r="HJ183" s="114"/>
      <c r="HK183" s="114"/>
      <c r="HL183" s="114"/>
      <c r="HM183" s="114"/>
      <c r="HN183" s="114"/>
      <c r="HO183" s="114"/>
      <c r="HP183" s="114"/>
      <c r="HQ183" s="114"/>
      <c r="HR183" s="114"/>
      <c r="HS183" s="114"/>
      <c r="HT183" s="114"/>
      <c r="HU183" s="114"/>
      <c r="HV183" s="114"/>
      <c r="HW183" s="114"/>
      <c r="HX183" s="114"/>
      <c r="HY183" s="114"/>
      <c r="HZ183" s="114"/>
      <c r="IA183" s="114"/>
      <c r="IB183" s="114"/>
      <c r="IC183" s="114"/>
      <c r="ID183" s="114"/>
      <c r="IE183" s="114"/>
      <c r="IF183" s="114"/>
      <c r="IG183" s="114"/>
      <c r="IH183" s="114"/>
      <c r="II183" s="114"/>
      <c r="IJ183" s="114"/>
      <c r="IK183" s="114"/>
      <c r="IL183" s="114"/>
      <c r="IM183" s="114"/>
      <c r="IN183" s="114"/>
      <c r="IO183" s="114"/>
      <c r="IP183" s="114"/>
      <c r="IQ183" s="114"/>
      <c r="IR183" s="114"/>
      <c r="IS183" s="114"/>
      <c r="IT183" s="114"/>
      <c r="IU183" s="114"/>
      <c r="IV183" s="114"/>
    </row>
    <row r="184" spans="1:256" s="112" customFormat="1" ht="12.75">
      <c r="A184" s="112" t="str">
        <f t="shared" si="4"/>
        <v>A6: Grundfutterverzehr Raufutterverzehrer</v>
      </c>
      <c r="B184" s="7" t="s">
        <v>998</v>
      </c>
      <c r="C184" s="510" t="s">
        <v>999</v>
      </c>
      <c r="D184" s="510" t="s">
        <v>1000</v>
      </c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  <c r="AS184" s="114"/>
      <c r="AT184" s="114"/>
      <c r="AU184" s="114"/>
      <c r="AV184" s="114"/>
      <c r="AW184" s="114"/>
      <c r="AX184" s="114"/>
      <c r="AY184" s="114"/>
      <c r="AZ184" s="114"/>
      <c r="BA184" s="114"/>
      <c r="BB184" s="114"/>
      <c r="BC184" s="114"/>
      <c r="BD184" s="114"/>
      <c r="BE184" s="114"/>
      <c r="BF184" s="114"/>
      <c r="BG184" s="114"/>
      <c r="BH184" s="114"/>
      <c r="BI184" s="114"/>
      <c r="BJ184" s="114"/>
      <c r="BK184" s="114"/>
      <c r="BL184" s="114"/>
      <c r="BM184" s="114"/>
      <c r="BN184" s="114"/>
      <c r="BO184" s="114"/>
      <c r="BP184" s="114"/>
      <c r="BQ184" s="114"/>
      <c r="BR184" s="114"/>
      <c r="BS184" s="114"/>
      <c r="BT184" s="114"/>
      <c r="BU184" s="114"/>
      <c r="BV184" s="114"/>
      <c r="BW184" s="114"/>
      <c r="BX184" s="114"/>
      <c r="BY184" s="114"/>
      <c r="BZ184" s="114"/>
      <c r="CA184" s="114"/>
      <c r="CB184" s="114"/>
      <c r="CC184" s="114"/>
      <c r="CD184" s="114"/>
      <c r="CE184" s="114"/>
      <c r="CF184" s="114"/>
      <c r="CG184" s="114"/>
      <c r="CH184" s="114"/>
      <c r="CI184" s="114"/>
      <c r="CJ184" s="114"/>
      <c r="CK184" s="114"/>
      <c r="CL184" s="114"/>
      <c r="CM184" s="114"/>
      <c r="CN184" s="114"/>
      <c r="CO184" s="114"/>
      <c r="CP184" s="114"/>
      <c r="CQ184" s="114"/>
      <c r="CR184" s="114"/>
      <c r="CS184" s="114"/>
      <c r="CT184" s="114"/>
      <c r="CU184" s="114"/>
      <c r="CV184" s="114"/>
      <c r="CW184" s="114"/>
      <c r="CX184" s="114"/>
      <c r="CY184" s="114"/>
      <c r="CZ184" s="114"/>
      <c r="DA184" s="114"/>
      <c r="DB184" s="114"/>
      <c r="DC184" s="114"/>
      <c r="DD184" s="114"/>
      <c r="DE184" s="114"/>
      <c r="DF184" s="114"/>
      <c r="DG184" s="114"/>
      <c r="DH184" s="114"/>
      <c r="DI184" s="114"/>
      <c r="DJ184" s="114"/>
      <c r="DK184" s="114"/>
      <c r="DL184" s="114"/>
      <c r="DM184" s="114"/>
      <c r="DN184" s="114"/>
      <c r="DO184" s="114"/>
      <c r="DP184" s="114"/>
      <c r="DQ184" s="114"/>
      <c r="DR184" s="114"/>
      <c r="DS184" s="114"/>
      <c r="DT184" s="114"/>
      <c r="DU184" s="114"/>
      <c r="DV184" s="114"/>
      <c r="DW184" s="114"/>
      <c r="DX184" s="114"/>
      <c r="DY184" s="114"/>
      <c r="DZ184" s="114"/>
      <c r="EA184" s="114"/>
      <c r="EB184" s="114"/>
      <c r="EC184" s="114"/>
      <c r="ED184" s="114"/>
      <c r="EE184" s="114"/>
      <c r="EF184" s="114"/>
      <c r="EG184" s="114"/>
      <c r="EH184" s="114"/>
      <c r="EI184" s="114"/>
      <c r="EJ184" s="114"/>
      <c r="EK184" s="114"/>
      <c r="EL184" s="114"/>
      <c r="EM184" s="114"/>
      <c r="EN184" s="114"/>
      <c r="EO184" s="114"/>
      <c r="EP184" s="114"/>
      <c r="EQ184" s="114"/>
      <c r="ER184" s="114"/>
      <c r="ES184" s="114"/>
      <c r="ET184" s="114"/>
      <c r="EU184" s="114"/>
      <c r="EV184" s="114"/>
      <c r="EW184" s="114"/>
      <c r="EX184" s="114"/>
      <c r="EY184" s="114"/>
      <c r="EZ184" s="114"/>
      <c r="FA184" s="114"/>
      <c r="FB184" s="114"/>
      <c r="FC184" s="114"/>
      <c r="FD184" s="114"/>
      <c r="FE184" s="114"/>
      <c r="FF184" s="114"/>
      <c r="FG184" s="114"/>
      <c r="FH184" s="114"/>
      <c r="FI184" s="114"/>
      <c r="FJ184" s="114"/>
      <c r="FK184" s="114"/>
      <c r="FL184" s="114"/>
      <c r="FM184" s="114"/>
      <c r="FN184" s="114"/>
      <c r="FO184" s="114"/>
      <c r="FP184" s="114"/>
      <c r="FQ184" s="114"/>
      <c r="FR184" s="114"/>
      <c r="FS184" s="114"/>
      <c r="FT184" s="114"/>
      <c r="FU184" s="114"/>
      <c r="FV184" s="114"/>
      <c r="FW184" s="114"/>
      <c r="FX184" s="114"/>
      <c r="FY184" s="114"/>
      <c r="FZ184" s="114"/>
      <c r="GA184" s="114"/>
      <c r="GB184" s="114"/>
      <c r="GC184" s="114"/>
      <c r="GD184" s="114"/>
      <c r="GE184" s="114"/>
      <c r="GF184" s="114"/>
      <c r="GG184" s="114"/>
      <c r="GH184" s="114"/>
      <c r="GI184" s="114"/>
      <c r="GJ184" s="114"/>
      <c r="GK184" s="114"/>
      <c r="GL184" s="114"/>
      <c r="GM184" s="114"/>
      <c r="GN184" s="114"/>
      <c r="GO184" s="114"/>
      <c r="GP184" s="114"/>
      <c r="GQ184" s="114"/>
      <c r="GR184" s="114"/>
      <c r="GS184" s="114"/>
      <c r="GT184" s="114"/>
      <c r="GU184" s="114"/>
      <c r="GV184" s="114"/>
      <c r="GW184" s="114"/>
      <c r="GX184" s="114"/>
      <c r="GY184" s="114"/>
      <c r="GZ184" s="114"/>
      <c r="HA184" s="114"/>
      <c r="HB184" s="114"/>
      <c r="HC184" s="114"/>
      <c r="HD184" s="114"/>
      <c r="HE184" s="114"/>
      <c r="HF184" s="114"/>
      <c r="HG184" s="114"/>
      <c r="HH184" s="114"/>
      <c r="HI184" s="114"/>
      <c r="HJ184" s="114"/>
      <c r="HK184" s="114"/>
      <c r="HL184" s="114"/>
      <c r="HM184" s="114"/>
      <c r="HN184" s="114"/>
      <c r="HO184" s="114"/>
      <c r="HP184" s="114"/>
      <c r="HQ184" s="114"/>
      <c r="HR184" s="114"/>
      <c r="HS184" s="114"/>
      <c r="HT184" s="114"/>
      <c r="HU184" s="114"/>
      <c r="HV184" s="114"/>
      <c r="HW184" s="114"/>
      <c r="HX184" s="114"/>
      <c r="HY184" s="114"/>
      <c r="HZ184" s="114"/>
      <c r="IA184" s="114"/>
      <c r="IB184" s="114"/>
      <c r="IC184" s="114"/>
      <c r="ID184" s="114"/>
      <c r="IE184" s="114"/>
      <c r="IF184" s="114"/>
      <c r="IG184" s="114"/>
      <c r="IH184" s="114"/>
      <c r="II184" s="114"/>
      <c r="IJ184" s="114"/>
      <c r="IK184" s="114"/>
      <c r="IL184" s="114"/>
      <c r="IM184" s="114"/>
      <c r="IN184" s="114"/>
      <c r="IO184" s="114"/>
      <c r="IP184" s="114"/>
      <c r="IQ184" s="114"/>
      <c r="IR184" s="114"/>
      <c r="IS184" s="114"/>
      <c r="IT184" s="114"/>
      <c r="IU184" s="114"/>
      <c r="IV184" s="114"/>
    </row>
    <row r="185" spans="1:256" s="112" customFormat="1" ht="12.75">
      <c r="A185" s="112" t="str">
        <f t="shared" si="4"/>
        <v>A7: Kraftfutterverzehr berechtigte Kategorien</v>
      </c>
      <c r="B185" s="7" t="s">
        <v>1001</v>
      </c>
      <c r="C185" s="510" t="s">
        <v>1002</v>
      </c>
      <c r="D185" s="510" t="s">
        <v>1003</v>
      </c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4"/>
      <c r="BB185" s="114"/>
      <c r="BC185" s="114"/>
      <c r="BD185" s="114"/>
      <c r="BE185" s="114"/>
      <c r="BF185" s="114"/>
      <c r="BG185" s="114"/>
      <c r="BH185" s="114"/>
      <c r="BI185" s="114"/>
      <c r="BJ185" s="114"/>
      <c r="BK185" s="114"/>
      <c r="BL185" s="114"/>
      <c r="BM185" s="114"/>
      <c r="BN185" s="114"/>
      <c r="BO185" s="114"/>
      <c r="BP185" s="114"/>
      <c r="BQ185" s="114"/>
      <c r="BR185" s="114"/>
      <c r="BS185" s="114"/>
      <c r="BT185" s="114"/>
      <c r="BU185" s="114"/>
      <c r="BV185" s="114"/>
      <c r="BW185" s="114"/>
      <c r="BX185" s="114"/>
      <c r="BY185" s="114"/>
      <c r="BZ185" s="114"/>
      <c r="CA185" s="114"/>
      <c r="CB185" s="114"/>
      <c r="CC185" s="114"/>
      <c r="CD185" s="114"/>
      <c r="CE185" s="114"/>
      <c r="CF185" s="114"/>
      <c r="CG185" s="114"/>
      <c r="CH185" s="114"/>
      <c r="CI185" s="114"/>
      <c r="CJ185" s="114"/>
      <c r="CK185" s="114"/>
      <c r="CL185" s="114"/>
      <c r="CM185" s="114"/>
      <c r="CN185" s="114"/>
      <c r="CO185" s="114"/>
      <c r="CP185" s="114"/>
      <c r="CQ185" s="114"/>
      <c r="CR185" s="114"/>
      <c r="CS185" s="114"/>
      <c r="CT185" s="114"/>
      <c r="CU185" s="114"/>
      <c r="CV185" s="114"/>
      <c r="CW185" s="114"/>
      <c r="CX185" s="114"/>
      <c r="CY185" s="114"/>
      <c r="CZ185" s="114"/>
      <c r="DA185" s="114"/>
      <c r="DB185" s="114"/>
      <c r="DC185" s="114"/>
      <c r="DD185" s="114"/>
      <c r="DE185" s="114"/>
      <c r="DF185" s="114"/>
      <c r="DG185" s="114"/>
      <c r="DH185" s="114"/>
      <c r="DI185" s="114"/>
      <c r="DJ185" s="114"/>
      <c r="DK185" s="114"/>
      <c r="DL185" s="114"/>
      <c r="DM185" s="114"/>
      <c r="DN185" s="114"/>
      <c r="DO185" s="114"/>
      <c r="DP185" s="114"/>
      <c r="DQ185" s="114"/>
      <c r="DR185" s="114"/>
      <c r="DS185" s="114"/>
      <c r="DT185" s="114"/>
      <c r="DU185" s="114"/>
      <c r="DV185" s="114"/>
      <c r="DW185" s="114"/>
      <c r="DX185" s="114"/>
      <c r="DY185" s="114"/>
      <c r="DZ185" s="114"/>
      <c r="EA185" s="114"/>
      <c r="EB185" s="114"/>
      <c r="EC185" s="114"/>
      <c r="ED185" s="114"/>
      <c r="EE185" s="114"/>
      <c r="EF185" s="114"/>
      <c r="EG185" s="114"/>
      <c r="EH185" s="114"/>
      <c r="EI185" s="114"/>
      <c r="EJ185" s="114"/>
      <c r="EK185" s="114"/>
      <c r="EL185" s="114"/>
      <c r="EM185" s="114"/>
      <c r="EN185" s="114"/>
      <c r="EO185" s="114"/>
      <c r="EP185" s="114"/>
      <c r="EQ185" s="114"/>
      <c r="ER185" s="114"/>
      <c r="ES185" s="114"/>
      <c r="ET185" s="114"/>
      <c r="EU185" s="114"/>
      <c r="EV185" s="114"/>
      <c r="EW185" s="114"/>
      <c r="EX185" s="114"/>
      <c r="EY185" s="114"/>
      <c r="EZ185" s="114"/>
      <c r="FA185" s="114"/>
      <c r="FB185" s="114"/>
      <c r="FC185" s="114"/>
      <c r="FD185" s="114"/>
      <c r="FE185" s="114"/>
      <c r="FF185" s="114"/>
      <c r="FG185" s="114"/>
      <c r="FH185" s="114"/>
      <c r="FI185" s="114"/>
      <c r="FJ185" s="114"/>
      <c r="FK185" s="114"/>
      <c r="FL185" s="114"/>
      <c r="FM185" s="114"/>
      <c r="FN185" s="114"/>
      <c r="FO185" s="114"/>
      <c r="FP185" s="114"/>
      <c r="FQ185" s="114"/>
      <c r="FR185" s="114"/>
      <c r="FS185" s="114"/>
      <c r="FT185" s="114"/>
      <c r="FU185" s="114"/>
      <c r="FV185" s="114"/>
      <c r="FW185" s="114"/>
      <c r="FX185" s="114"/>
      <c r="FY185" s="114"/>
      <c r="FZ185" s="114"/>
      <c r="GA185" s="114"/>
      <c r="GB185" s="114"/>
      <c r="GC185" s="114"/>
      <c r="GD185" s="114"/>
      <c r="GE185" s="114"/>
      <c r="GF185" s="114"/>
      <c r="GG185" s="114"/>
      <c r="GH185" s="114"/>
      <c r="GI185" s="114"/>
      <c r="GJ185" s="114"/>
      <c r="GK185" s="114"/>
      <c r="GL185" s="114"/>
      <c r="GM185" s="114"/>
      <c r="GN185" s="114"/>
      <c r="GO185" s="114"/>
      <c r="GP185" s="114"/>
      <c r="GQ185" s="114"/>
      <c r="GR185" s="114"/>
      <c r="GS185" s="114"/>
      <c r="GT185" s="114"/>
      <c r="GU185" s="114"/>
      <c r="GV185" s="114"/>
      <c r="GW185" s="114"/>
      <c r="GX185" s="114"/>
      <c r="GY185" s="114"/>
      <c r="GZ185" s="114"/>
      <c r="HA185" s="114"/>
      <c r="HB185" s="114"/>
      <c r="HC185" s="114"/>
      <c r="HD185" s="114"/>
      <c r="HE185" s="114"/>
      <c r="HF185" s="114"/>
      <c r="HG185" s="114"/>
      <c r="HH185" s="114"/>
      <c r="HI185" s="114"/>
      <c r="HJ185" s="114"/>
      <c r="HK185" s="114"/>
      <c r="HL185" s="114"/>
      <c r="HM185" s="114"/>
      <c r="HN185" s="114"/>
      <c r="HO185" s="114"/>
      <c r="HP185" s="114"/>
      <c r="HQ185" s="114"/>
      <c r="HR185" s="114"/>
      <c r="HS185" s="114"/>
      <c r="HT185" s="114"/>
      <c r="HU185" s="114"/>
      <c r="HV185" s="114"/>
      <c r="HW185" s="114"/>
      <c r="HX185" s="114"/>
      <c r="HY185" s="114"/>
      <c r="HZ185" s="114"/>
      <c r="IA185" s="114"/>
      <c r="IB185" s="114"/>
      <c r="IC185" s="114"/>
      <c r="ID185" s="114"/>
      <c r="IE185" s="114"/>
      <c r="IF185" s="114"/>
      <c r="IG185" s="114"/>
      <c r="IH185" s="114"/>
      <c r="II185" s="114"/>
      <c r="IJ185" s="114"/>
      <c r="IK185" s="114"/>
      <c r="IL185" s="114"/>
      <c r="IM185" s="114"/>
      <c r="IN185" s="114"/>
      <c r="IO185" s="114"/>
      <c r="IP185" s="114"/>
      <c r="IQ185" s="114"/>
      <c r="IR185" s="114"/>
      <c r="IS185" s="114"/>
      <c r="IT185" s="114"/>
      <c r="IU185" s="114"/>
      <c r="IV185" s="114"/>
    </row>
    <row r="186" spans="1:256" s="112" customFormat="1" ht="12.75">
      <c r="A186" s="112" t="str">
        <f t="shared" si="4"/>
        <v>A8: Sömmerungstage gemäss AniCalc (TVD-Auszug)</v>
      </c>
      <c r="B186" s="112" t="s">
        <v>1004</v>
      </c>
      <c r="C186" s="510" t="s">
        <v>1005</v>
      </c>
      <c r="D186" s="598" t="s">
        <v>466</v>
      </c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4"/>
      <c r="CE186" s="114"/>
      <c r="CF186" s="114"/>
      <c r="CG186" s="114"/>
      <c r="CH186" s="114"/>
      <c r="CI186" s="114"/>
      <c r="CJ186" s="114"/>
      <c r="CK186" s="114"/>
      <c r="CL186" s="114"/>
      <c r="CM186" s="114"/>
      <c r="CN186" s="114"/>
      <c r="CO186" s="114"/>
      <c r="CP186" s="114"/>
      <c r="CQ186" s="114"/>
      <c r="CR186" s="114"/>
      <c r="CS186" s="114"/>
      <c r="CT186" s="114"/>
      <c r="CU186" s="114"/>
      <c r="CV186" s="114"/>
      <c r="CW186" s="114"/>
      <c r="CX186" s="114"/>
      <c r="CY186" s="114"/>
      <c r="CZ186" s="114"/>
      <c r="DA186" s="114"/>
      <c r="DB186" s="114"/>
      <c r="DC186" s="114"/>
      <c r="DD186" s="114"/>
      <c r="DE186" s="114"/>
      <c r="DF186" s="114"/>
      <c r="DG186" s="114"/>
      <c r="DH186" s="114"/>
      <c r="DI186" s="114"/>
      <c r="DJ186" s="114"/>
      <c r="DK186" s="114"/>
      <c r="DL186" s="114"/>
      <c r="DM186" s="114"/>
      <c r="DN186" s="114"/>
      <c r="DO186" s="114"/>
      <c r="DP186" s="114"/>
      <c r="DQ186" s="114"/>
      <c r="DR186" s="114"/>
      <c r="DS186" s="114"/>
      <c r="DT186" s="114"/>
      <c r="DU186" s="114"/>
      <c r="DV186" s="114"/>
      <c r="DW186" s="114"/>
      <c r="DX186" s="114"/>
      <c r="DY186" s="114"/>
      <c r="DZ186" s="114"/>
      <c r="EA186" s="114"/>
      <c r="EB186" s="114"/>
      <c r="EC186" s="114"/>
      <c r="ED186" s="114"/>
      <c r="EE186" s="114"/>
      <c r="EF186" s="114"/>
      <c r="EG186" s="114"/>
      <c r="EH186" s="114"/>
      <c r="EI186" s="114"/>
      <c r="EJ186" s="114"/>
      <c r="EK186" s="114"/>
      <c r="EL186" s="114"/>
      <c r="EM186" s="114"/>
      <c r="EN186" s="114"/>
      <c r="EO186" s="114"/>
      <c r="EP186" s="114"/>
      <c r="EQ186" s="114"/>
      <c r="ER186" s="114"/>
      <c r="ES186" s="114"/>
      <c r="ET186" s="114"/>
      <c r="EU186" s="114"/>
      <c r="EV186" s="114"/>
      <c r="EW186" s="114"/>
      <c r="EX186" s="114"/>
      <c r="EY186" s="114"/>
      <c r="EZ186" s="114"/>
      <c r="FA186" s="114"/>
      <c r="FB186" s="114"/>
      <c r="FC186" s="114"/>
      <c r="FD186" s="114"/>
      <c r="FE186" s="114"/>
      <c r="FF186" s="114"/>
      <c r="FG186" s="114"/>
      <c r="FH186" s="114"/>
      <c r="FI186" s="114"/>
      <c r="FJ186" s="114"/>
      <c r="FK186" s="114"/>
      <c r="FL186" s="114"/>
      <c r="FM186" s="114"/>
      <c r="FN186" s="114"/>
      <c r="FO186" s="114"/>
      <c r="FP186" s="114"/>
      <c r="FQ186" s="114"/>
      <c r="FR186" s="114"/>
      <c r="FS186" s="114"/>
      <c r="FT186" s="114"/>
      <c r="FU186" s="114"/>
      <c r="FV186" s="114"/>
      <c r="FW186" s="114"/>
      <c r="FX186" s="114"/>
      <c r="FY186" s="114"/>
      <c r="FZ186" s="114"/>
      <c r="GA186" s="114"/>
      <c r="GB186" s="114"/>
      <c r="GC186" s="114"/>
      <c r="GD186" s="114"/>
      <c r="GE186" s="114"/>
      <c r="GF186" s="114"/>
      <c r="GG186" s="114"/>
      <c r="GH186" s="114"/>
      <c r="GI186" s="114"/>
      <c r="GJ186" s="114"/>
      <c r="GK186" s="114"/>
      <c r="GL186" s="114"/>
      <c r="GM186" s="114"/>
      <c r="GN186" s="114"/>
      <c r="GO186" s="114"/>
      <c r="GP186" s="114"/>
      <c r="GQ186" s="114"/>
      <c r="GR186" s="114"/>
      <c r="GS186" s="114"/>
      <c r="GT186" s="114"/>
      <c r="GU186" s="114"/>
      <c r="GV186" s="114"/>
      <c r="GW186" s="114"/>
      <c r="GX186" s="114"/>
      <c r="GY186" s="114"/>
      <c r="GZ186" s="114"/>
      <c r="HA186" s="114"/>
      <c r="HB186" s="114"/>
      <c r="HC186" s="114"/>
      <c r="HD186" s="114"/>
      <c r="HE186" s="114"/>
      <c r="HF186" s="114"/>
      <c r="HG186" s="114"/>
      <c r="HH186" s="114"/>
      <c r="HI186" s="114"/>
      <c r="HJ186" s="114"/>
      <c r="HK186" s="114"/>
      <c r="HL186" s="114"/>
      <c r="HM186" s="114"/>
      <c r="HN186" s="114"/>
      <c r="HO186" s="114"/>
      <c r="HP186" s="114"/>
      <c r="HQ186" s="114"/>
      <c r="HR186" s="114"/>
      <c r="HS186" s="114"/>
      <c r="HT186" s="114"/>
      <c r="HU186" s="114"/>
      <c r="HV186" s="114"/>
      <c r="HW186" s="114"/>
      <c r="HX186" s="114"/>
      <c r="HY186" s="114"/>
      <c r="HZ186" s="114"/>
      <c r="IA186" s="114"/>
      <c r="IB186" s="114"/>
      <c r="IC186" s="114"/>
      <c r="ID186" s="114"/>
      <c r="IE186" s="114"/>
      <c r="IF186" s="114"/>
      <c r="IG186" s="114"/>
      <c r="IH186" s="114"/>
      <c r="II186" s="114"/>
      <c r="IJ186" s="114"/>
      <c r="IK186" s="114"/>
      <c r="IL186" s="114"/>
      <c r="IM186" s="114"/>
      <c r="IN186" s="114"/>
      <c r="IO186" s="114"/>
      <c r="IP186" s="114"/>
      <c r="IQ186" s="114"/>
      <c r="IR186" s="114"/>
      <c r="IS186" s="114"/>
      <c r="IT186" s="114"/>
      <c r="IU186" s="114"/>
      <c r="IV186" s="114"/>
    </row>
    <row r="187" spans="2:256" s="112" customFormat="1" ht="12.75">
      <c r="B187" s="7"/>
      <c r="C187" s="458"/>
      <c r="D187" s="476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4"/>
      <c r="CA187" s="114"/>
      <c r="CB187" s="114"/>
      <c r="CC187" s="114"/>
      <c r="CD187" s="114"/>
      <c r="CE187" s="114"/>
      <c r="CF187" s="114"/>
      <c r="CG187" s="114"/>
      <c r="CH187" s="114"/>
      <c r="CI187" s="114"/>
      <c r="CJ187" s="114"/>
      <c r="CK187" s="114"/>
      <c r="CL187" s="114"/>
      <c r="CM187" s="114"/>
      <c r="CN187" s="114"/>
      <c r="CO187" s="114"/>
      <c r="CP187" s="114"/>
      <c r="CQ187" s="114"/>
      <c r="CR187" s="114"/>
      <c r="CS187" s="114"/>
      <c r="CT187" s="114"/>
      <c r="CU187" s="114"/>
      <c r="CV187" s="114"/>
      <c r="CW187" s="114"/>
      <c r="CX187" s="114"/>
      <c r="CY187" s="114"/>
      <c r="CZ187" s="114"/>
      <c r="DA187" s="114"/>
      <c r="DB187" s="114"/>
      <c r="DC187" s="114"/>
      <c r="DD187" s="114"/>
      <c r="DE187" s="114"/>
      <c r="DF187" s="114"/>
      <c r="DG187" s="114"/>
      <c r="DH187" s="114"/>
      <c r="DI187" s="114"/>
      <c r="DJ187" s="114"/>
      <c r="DK187" s="114"/>
      <c r="DL187" s="114"/>
      <c r="DM187" s="114"/>
      <c r="DN187" s="114"/>
      <c r="DO187" s="114"/>
      <c r="DP187" s="114"/>
      <c r="DQ187" s="114"/>
      <c r="DR187" s="114"/>
      <c r="DS187" s="114"/>
      <c r="DT187" s="114"/>
      <c r="DU187" s="114"/>
      <c r="DV187" s="114"/>
      <c r="DW187" s="114"/>
      <c r="DX187" s="114"/>
      <c r="DY187" s="114"/>
      <c r="DZ187" s="114"/>
      <c r="EA187" s="114"/>
      <c r="EB187" s="114"/>
      <c r="EC187" s="114"/>
      <c r="ED187" s="114"/>
      <c r="EE187" s="114"/>
      <c r="EF187" s="114"/>
      <c r="EG187" s="114"/>
      <c r="EH187" s="114"/>
      <c r="EI187" s="114"/>
      <c r="EJ187" s="114"/>
      <c r="EK187" s="114"/>
      <c r="EL187" s="114"/>
      <c r="EM187" s="114"/>
      <c r="EN187" s="114"/>
      <c r="EO187" s="114"/>
      <c r="EP187" s="114"/>
      <c r="EQ187" s="114"/>
      <c r="ER187" s="114"/>
      <c r="ES187" s="114"/>
      <c r="ET187" s="114"/>
      <c r="EU187" s="114"/>
      <c r="EV187" s="114"/>
      <c r="EW187" s="114"/>
      <c r="EX187" s="114"/>
      <c r="EY187" s="114"/>
      <c r="EZ187" s="114"/>
      <c r="FA187" s="114"/>
      <c r="FB187" s="114"/>
      <c r="FC187" s="114"/>
      <c r="FD187" s="114"/>
      <c r="FE187" s="114"/>
      <c r="FF187" s="114"/>
      <c r="FG187" s="114"/>
      <c r="FH187" s="114"/>
      <c r="FI187" s="114"/>
      <c r="FJ187" s="114"/>
      <c r="FK187" s="114"/>
      <c r="FL187" s="114"/>
      <c r="FM187" s="114"/>
      <c r="FN187" s="114"/>
      <c r="FO187" s="114"/>
      <c r="FP187" s="114"/>
      <c r="FQ187" s="114"/>
      <c r="FR187" s="114"/>
      <c r="FS187" s="114"/>
      <c r="FT187" s="114"/>
      <c r="FU187" s="114"/>
      <c r="FV187" s="114"/>
      <c r="FW187" s="114"/>
      <c r="FX187" s="114"/>
      <c r="FY187" s="114"/>
      <c r="FZ187" s="114"/>
      <c r="GA187" s="114"/>
      <c r="GB187" s="114"/>
      <c r="GC187" s="114"/>
      <c r="GD187" s="114"/>
      <c r="GE187" s="114"/>
      <c r="GF187" s="114"/>
      <c r="GG187" s="114"/>
      <c r="GH187" s="114"/>
      <c r="GI187" s="114"/>
      <c r="GJ187" s="114"/>
      <c r="GK187" s="114"/>
      <c r="GL187" s="114"/>
      <c r="GM187" s="114"/>
      <c r="GN187" s="114"/>
      <c r="GO187" s="114"/>
      <c r="GP187" s="114"/>
      <c r="GQ187" s="114"/>
      <c r="GR187" s="114"/>
      <c r="GS187" s="114"/>
      <c r="GT187" s="114"/>
      <c r="GU187" s="114"/>
      <c r="GV187" s="114"/>
      <c r="GW187" s="114"/>
      <c r="GX187" s="114"/>
      <c r="GY187" s="114"/>
      <c r="GZ187" s="114"/>
      <c r="HA187" s="114"/>
      <c r="HB187" s="114"/>
      <c r="HC187" s="114"/>
      <c r="HD187" s="114"/>
      <c r="HE187" s="114"/>
      <c r="HF187" s="114"/>
      <c r="HG187" s="114"/>
      <c r="HH187" s="114"/>
      <c r="HI187" s="114"/>
      <c r="HJ187" s="114"/>
      <c r="HK187" s="114"/>
      <c r="HL187" s="114"/>
      <c r="HM187" s="114"/>
      <c r="HN187" s="114"/>
      <c r="HO187" s="114"/>
      <c r="HP187" s="114"/>
      <c r="HQ187" s="114"/>
      <c r="HR187" s="114"/>
      <c r="HS187" s="114"/>
      <c r="HT187" s="114"/>
      <c r="HU187" s="114"/>
      <c r="HV187" s="114"/>
      <c r="HW187" s="114"/>
      <c r="HX187" s="114"/>
      <c r="HY187" s="114"/>
      <c r="HZ187" s="114"/>
      <c r="IA187" s="114"/>
      <c r="IB187" s="114"/>
      <c r="IC187" s="114"/>
      <c r="ID187" s="114"/>
      <c r="IE187" s="114"/>
      <c r="IF187" s="114"/>
      <c r="IG187" s="114"/>
      <c r="IH187" s="114"/>
      <c r="II187" s="114"/>
      <c r="IJ187" s="114"/>
      <c r="IK187" s="114"/>
      <c r="IL187" s="114"/>
      <c r="IM187" s="114"/>
      <c r="IN187" s="114"/>
      <c r="IO187" s="114"/>
      <c r="IP187" s="114"/>
      <c r="IQ187" s="114"/>
      <c r="IR187" s="114"/>
      <c r="IS187" s="114"/>
      <c r="IT187" s="114"/>
      <c r="IU187" s="114"/>
      <c r="IV187" s="114"/>
    </row>
    <row r="188" spans="1:4" s="111" customFormat="1" ht="12.75">
      <c r="A188" s="111" t="str">
        <f aca="true" t="shared" si="5" ref="A188:A199">IF($A$2=1,B188,IF($A$2=2,C188,IF($A$2=3,D188,"")))</f>
        <v>Teil B: Grundfutterproduktion</v>
      </c>
      <c r="B188" s="111" t="s">
        <v>936</v>
      </c>
      <c r="C188" s="111" t="s">
        <v>244</v>
      </c>
      <c r="D188" s="475" t="s">
        <v>436</v>
      </c>
    </row>
    <row r="189" spans="1:4" ht="12.75">
      <c r="A189" s="112" t="str">
        <f t="shared" si="5"/>
        <v>Stand.</v>
      </c>
      <c r="B189" s="7" t="s">
        <v>1060</v>
      </c>
      <c r="C189" s="7" t="s">
        <v>33</v>
      </c>
      <c r="D189" s="476" t="s">
        <v>438</v>
      </c>
    </row>
    <row r="190" spans="1:4" ht="12.75">
      <c r="A190" s="112" t="str">
        <f t="shared" si="5"/>
        <v>Ertrag</v>
      </c>
      <c r="B190" s="7" t="s">
        <v>32</v>
      </c>
      <c r="C190" s="7" t="s">
        <v>1056</v>
      </c>
      <c r="D190" s="476" t="s">
        <v>1056</v>
      </c>
    </row>
    <row r="191" spans="1:4" ht="12.75">
      <c r="A191" s="112" t="str">
        <f t="shared" si="5"/>
        <v>Ertrag</v>
      </c>
      <c r="B191" s="7" t="s">
        <v>32</v>
      </c>
      <c r="C191" s="7" t="s">
        <v>33</v>
      </c>
      <c r="D191" s="476" t="s">
        <v>438</v>
      </c>
    </row>
    <row r="192" spans="1:4" ht="12.75">
      <c r="A192" s="112" t="str">
        <f t="shared" si="5"/>
        <v>Fläche</v>
      </c>
      <c r="B192" s="7" t="s">
        <v>31</v>
      </c>
      <c r="C192" s="7" t="s">
        <v>1057</v>
      </c>
      <c r="D192" s="476" t="s">
        <v>1056</v>
      </c>
    </row>
    <row r="193" spans="1:4" ht="12.75">
      <c r="A193" s="112" t="str">
        <f t="shared" si="5"/>
        <v>dt TS/ha</v>
      </c>
      <c r="B193" s="7" t="s">
        <v>1059</v>
      </c>
      <c r="C193" s="7" t="s">
        <v>137</v>
      </c>
      <c r="D193" s="476" t="s">
        <v>439</v>
      </c>
    </row>
    <row r="194" spans="1:4" ht="12.75">
      <c r="A194" s="112" t="str">
        <f t="shared" si="5"/>
        <v>Menge</v>
      </c>
      <c r="B194" s="7" t="s">
        <v>1165</v>
      </c>
      <c r="C194" s="7" t="s">
        <v>1058</v>
      </c>
      <c r="D194" s="476" t="s">
        <v>1058</v>
      </c>
    </row>
    <row r="195" spans="1:4" ht="12.75">
      <c r="A195" s="112" t="str">
        <f t="shared" si="5"/>
        <v>dt TS</v>
      </c>
      <c r="B195" s="7" t="s">
        <v>1086</v>
      </c>
      <c r="C195" s="7" t="s">
        <v>1184</v>
      </c>
      <c r="D195" s="476" t="s">
        <v>372</v>
      </c>
    </row>
    <row r="196" spans="1:4" ht="12.75">
      <c r="A196" s="112" t="str">
        <f t="shared" si="5"/>
        <v>1 = Verkauf</v>
      </c>
      <c r="B196" s="7" t="s">
        <v>1206</v>
      </c>
      <c r="C196" s="7" t="s">
        <v>124</v>
      </c>
      <c r="D196" s="476" t="s">
        <v>440</v>
      </c>
    </row>
    <row r="197" spans="1:4" ht="12.75">
      <c r="A197" s="112" t="str">
        <f t="shared" si="5"/>
        <v>2 = Zukauf</v>
      </c>
      <c r="B197" s="7" t="s">
        <v>1207</v>
      </c>
      <c r="C197" s="7" t="s">
        <v>125</v>
      </c>
      <c r="D197" s="476" t="s">
        <v>441</v>
      </c>
    </row>
    <row r="198" spans="1:4" ht="12.75">
      <c r="A198" s="112" t="str">
        <f t="shared" si="5"/>
        <v>3 = ausserhalb FF</v>
      </c>
      <c r="B198" s="7" t="s">
        <v>0</v>
      </c>
      <c r="C198" s="7" t="s">
        <v>127</v>
      </c>
      <c r="D198" s="476" t="s">
        <v>442</v>
      </c>
    </row>
    <row r="199" spans="1:4" ht="12.75">
      <c r="A199" s="112" t="str">
        <f t="shared" si="5"/>
        <v>Ganzpflanzenmais, Silomais</v>
      </c>
      <c r="B199" s="7" t="s">
        <v>286</v>
      </c>
      <c r="C199" s="7" t="s">
        <v>245</v>
      </c>
      <c r="D199" s="476" t="s">
        <v>557</v>
      </c>
    </row>
    <row r="200" spans="1:4" ht="12.75">
      <c r="A200" s="112" t="str">
        <f>IF($A$2=1,B200,IF($A$2=2,C200,IF($A$2=3,D201,"")))</f>
        <v>Futterrüben (ohne Blätter)</v>
      </c>
      <c r="B200" s="7" t="s">
        <v>1166</v>
      </c>
      <c r="C200" s="456" t="s">
        <v>1167</v>
      </c>
      <c r="D200" s="476" t="s">
        <v>445</v>
      </c>
    </row>
    <row r="201" spans="1:4" ht="12.75">
      <c r="A201" s="112" t="str">
        <f>IF($A$2=1,B201,IF($A$2=2,C201,IF($A$2=3,D200,"")))</f>
        <v>Grünmais (2. Kultur)</v>
      </c>
      <c r="B201" s="7" t="s">
        <v>287</v>
      </c>
      <c r="C201" s="456" t="s">
        <v>246</v>
      </c>
      <c r="D201" s="476" t="s">
        <v>444</v>
      </c>
    </row>
    <row r="202" spans="1:4" ht="12.75">
      <c r="A202" s="112" t="str">
        <f aca="true" t="shared" si="6" ref="A202:A233">IF($A$2=1,B202,IF($A$2=2,C202,IF($A$2=3,D202,"")))</f>
        <v>Verfüttertes Stroh (nur betriebseigenes)</v>
      </c>
      <c r="B202" s="7" t="s">
        <v>966</v>
      </c>
      <c r="C202" s="7" t="s">
        <v>247</v>
      </c>
      <c r="D202" s="476" t="s">
        <v>446</v>
      </c>
    </row>
    <row r="203" spans="1:4" ht="12.75">
      <c r="A203" s="112" t="str">
        <f t="shared" si="6"/>
        <v>Verfütterte Rübenblätter (nur betriebseigene)</v>
      </c>
      <c r="B203" s="7" t="s">
        <v>967</v>
      </c>
      <c r="C203" s="7" t="s">
        <v>968</v>
      </c>
      <c r="D203" s="476" t="s">
        <v>447</v>
      </c>
    </row>
    <row r="204" spans="1:5" ht="12.75">
      <c r="A204" s="112" t="str">
        <f t="shared" si="6"/>
        <v>Zwischenfutter, Aeugstlen, Frühjahrsschnitt vor Umbruch</v>
      </c>
      <c r="B204" s="7" t="s">
        <v>68</v>
      </c>
      <c r="C204" s="7" t="s">
        <v>248</v>
      </c>
      <c r="D204" s="476" t="s">
        <v>564</v>
      </c>
      <c r="E204" s="7" t="s">
        <v>563</v>
      </c>
    </row>
    <row r="205" spans="1:4" ht="12.75">
      <c r="A205" s="112" t="str">
        <f t="shared" si="6"/>
        <v>Samenproduktion: Leguminosen Reinbestand</v>
      </c>
      <c r="B205" s="7" t="s">
        <v>1168</v>
      </c>
      <c r="C205" s="7" t="s">
        <v>1169</v>
      </c>
      <c r="D205" s="476" t="s">
        <v>448</v>
      </c>
    </row>
    <row r="206" spans="1:4" ht="12.75">
      <c r="A206" s="112" t="str">
        <f t="shared" si="6"/>
        <v>Samenproduktion: Gras Reinbestand</v>
      </c>
      <c r="B206" s="7" t="s">
        <v>1170</v>
      </c>
      <c r="C206" s="7" t="s">
        <v>1171</v>
      </c>
      <c r="D206" s="476" t="s">
        <v>449</v>
      </c>
    </row>
    <row r="207" spans="1:4" ht="12.75">
      <c r="A207" s="112" t="str">
        <f t="shared" si="6"/>
        <v>Extensive Wiesen</v>
      </c>
      <c r="B207" s="7" t="s">
        <v>1172</v>
      </c>
      <c r="C207" s="7" t="s">
        <v>1173</v>
      </c>
      <c r="D207" s="476" t="s">
        <v>450</v>
      </c>
    </row>
    <row r="208" spans="1:4" ht="12.75">
      <c r="A208" s="112" t="str">
        <f t="shared" si="6"/>
        <v>Übrige Wiesen mit Düngeverbot</v>
      </c>
      <c r="B208" s="7" t="s">
        <v>34</v>
      </c>
      <c r="C208" s="7" t="s">
        <v>22</v>
      </c>
      <c r="D208" s="476" t="s">
        <v>451</v>
      </c>
    </row>
    <row r="209" spans="1:4" ht="12.75">
      <c r="A209" s="112" t="str">
        <f t="shared" si="6"/>
        <v>Extensive Weiden, Waldweiden</v>
      </c>
      <c r="B209" s="7" t="s">
        <v>1174</v>
      </c>
      <c r="C209" s="7" t="s">
        <v>1175</v>
      </c>
      <c r="D209" s="476" t="s">
        <v>452</v>
      </c>
    </row>
    <row r="210" spans="1:4" ht="12.75">
      <c r="A210" s="112" t="str">
        <f t="shared" si="6"/>
        <v>Wiesen und Weiden</v>
      </c>
      <c r="B210" s="7" t="s">
        <v>23</v>
      </c>
      <c r="C210" s="7" t="s">
        <v>24</v>
      </c>
      <c r="D210" s="476" t="s">
        <v>453</v>
      </c>
    </row>
    <row r="211" spans="1:4" ht="12.75">
      <c r="A211" s="112" t="str">
        <f t="shared" si="6"/>
        <v>wenig intensiv (1-3 Nutzungen)</v>
      </c>
      <c r="B211" s="7" t="s">
        <v>1111</v>
      </c>
      <c r="C211" s="7" t="s">
        <v>139</v>
      </c>
      <c r="D211" s="476" t="s">
        <v>454</v>
      </c>
    </row>
    <row r="212" spans="1:4" ht="12.75">
      <c r="A212" s="112" t="str">
        <f t="shared" si="6"/>
        <v>mittelintensiv (1-4 Nutzungen)</v>
      </c>
      <c r="B212" s="7" t="s">
        <v>1112</v>
      </c>
      <c r="C212" s="7" t="s">
        <v>141</v>
      </c>
      <c r="D212" s="476" t="s">
        <v>565</v>
      </c>
    </row>
    <row r="213" spans="1:4" ht="12.75">
      <c r="A213" s="112" t="str">
        <f t="shared" si="6"/>
        <v>intensive (2-6 Nutzungen)</v>
      </c>
      <c r="B213" s="7" t="s">
        <v>1113</v>
      </c>
      <c r="C213" s="7" t="s">
        <v>143</v>
      </c>
      <c r="D213" s="476" t="s">
        <v>455</v>
      </c>
    </row>
    <row r="214" spans="1:4" ht="12.75">
      <c r="A214" s="112" t="str">
        <f t="shared" si="6"/>
        <v>Grünfläche</v>
      </c>
      <c r="B214" s="7" t="s">
        <v>154</v>
      </c>
      <c r="C214" s="7" t="s">
        <v>175</v>
      </c>
      <c r="D214" s="476" t="s">
        <v>456</v>
      </c>
    </row>
    <row r="215" spans="1:4" ht="12.75">
      <c r="A215" s="112" t="str">
        <f t="shared" si="6"/>
        <v>Zwischenfutterfläche</v>
      </c>
      <c r="B215" s="7" t="s">
        <v>930</v>
      </c>
      <c r="C215" s="7" t="s">
        <v>249</v>
      </c>
      <c r="D215" s="476" t="s">
        <v>457</v>
      </c>
    </row>
    <row r="216" spans="1:4" ht="12.75">
      <c r="A216" s="112" t="str">
        <f t="shared" si="6"/>
        <v>B1: Grundfutterproduktion total</v>
      </c>
      <c r="B216" s="7" t="s">
        <v>935</v>
      </c>
      <c r="C216" s="7" t="s">
        <v>250</v>
      </c>
      <c r="D216" s="476" t="s">
        <v>470</v>
      </c>
    </row>
    <row r="217" spans="1:4" ht="12.75">
      <c r="A217" s="112" t="str">
        <f t="shared" si="6"/>
        <v>B2: Grundfutterproduktion Wiesen und Weiden</v>
      </c>
      <c r="B217" s="7" t="s">
        <v>28</v>
      </c>
      <c r="C217" s="7" t="s">
        <v>251</v>
      </c>
      <c r="D217" s="476" t="s">
        <v>471</v>
      </c>
    </row>
    <row r="218" spans="1:4" ht="12.75">
      <c r="A218" s="112" t="str">
        <f t="shared" si="6"/>
        <v>B3: Grundfutterproduktion übrige</v>
      </c>
      <c r="B218" s="7" t="s">
        <v>10</v>
      </c>
      <c r="C218" s="7" t="s">
        <v>11</v>
      </c>
      <c r="D218" s="476" t="s">
        <v>472</v>
      </c>
    </row>
    <row r="219" spans="1:4" ht="12.75">
      <c r="A219" s="112" t="str">
        <f t="shared" si="6"/>
        <v>Maximalertrag ist überschritten!</v>
      </c>
      <c r="B219" s="7" t="s">
        <v>163</v>
      </c>
      <c r="C219" s="7" t="s">
        <v>164</v>
      </c>
      <c r="D219" s="476" t="s">
        <v>473</v>
      </c>
    </row>
    <row r="220" spans="1:4" ht="12.75">
      <c r="A220" s="112" t="str">
        <f t="shared" si="6"/>
        <v>Angaben für Mindesttierbesatz</v>
      </c>
      <c r="B220" s="7" t="s">
        <v>852</v>
      </c>
      <c r="C220" s="7" t="s">
        <v>853</v>
      </c>
      <c r="D220" s="476" t="s">
        <v>854</v>
      </c>
    </row>
    <row r="221" spans="1:4" ht="12.75">
      <c r="A221" s="112" t="str">
        <f t="shared" si="6"/>
        <v>tierbesatz</v>
      </c>
      <c r="B221" s="7" t="s">
        <v>173</v>
      </c>
      <c r="C221" s="7" t="s">
        <v>252</v>
      </c>
      <c r="D221" s="476" t="s">
        <v>474</v>
      </c>
    </row>
    <row r="222" spans="1:4" ht="12.75">
      <c r="A222" s="112" t="str">
        <f t="shared" si="6"/>
        <v>Dauergrünland</v>
      </c>
      <c r="B222" s="7" t="s">
        <v>168</v>
      </c>
      <c r="C222" s="7" t="s">
        <v>174</v>
      </c>
      <c r="D222" s="476" t="s">
        <v>566</v>
      </c>
    </row>
    <row r="223" spans="1:4" ht="12.75">
      <c r="A223" s="112" t="str">
        <f t="shared" si="6"/>
        <v>Kunstwiesen</v>
      </c>
      <c r="B223" s="7" t="s">
        <v>167</v>
      </c>
      <c r="C223" s="7" t="s">
        <v>254</v>
      </c>
      <c r="D223" s="476" t="s">
        <v>475</v>
      </c>
    </row>
    <row r="224" spans="1:4" ht="12.75">
      <c r="A224" s="112" t="str">
        <f t="shared" si="6"/>
        <v>BFF</v>
      </c>
      <c r="B224" s="7" t="s">
        <v>169</v>
      </c>
      <c r="C224" s="7" t="s">
        <v>171</v>
      </c>
      <c r="D224" s="476" t="s">
        <v>171</v>
      </c>
    </row>
    <row r="225" spans="1:4" ht="12.75">
      <c r="A225" s="112" t="str">
        <f t="shared" si="6"/>
        <v>Talzone</v>
      </c>
      <c r="B225" s="7" t="s">
        <v>74</v>
      </c>
      <c r="C225" s="7" t="s">
        <v>47</v>
      </c>
      <c r="D225" s="476" t="s">
        <v>336</v>
      </c>
    </row>
    <row r="226" spans="1:4" ht="12.75">
      <c r="A226" s="112" t="str">
        <f t="shared" si="6"/>
        <v>Hügelzone</v>
      </c>
      <c r="B226" s="7" t="s">
        <v>75</v>
      </c>
      <c r="C226" s="7" t="s">
        <v>76</v>
      </c>
      <c r="D226" s="476" t="s">
        <v>337</v>
      </c>
    </row>
    <row r="227" spans="1:4" ht="12.75">
      <c r="A227" s="112" t="str">
        <f t="shared" si="6"/>
        <v>Bergzone 1</v>
      </c>
      <c r="B227" s="7" t="s">
        <v>77</v>
      </c>
      <c r="C227" s="7" t="s">
        <v>78</v>
      </c>
      <c r="D227" s="476" t="s">
        <v>338</v>
      </c>
    </row>
    <row r="228" spans="1:4" ht="12.75">
      <c r="A228" s="112" t="str">
        <f t="shared" si="6"/>
        <v>Bergzone 2</v>
      </c>
      <c r="B228" s="7" t="s">
        <v>79</v>
      </c>
      <c r="C228" s="7" t="s">
        <v>80</v>
      </c>
      <c r="D228" s="476" t="s">
        <v>339</v>
      </c>
    </row>
    <row r="229" spans="1:4" ht="12.75">
      <c r="A229" s="112" t="str">
        <f t="shared" si="6"/>
        <v>Bergzone 3</v>
      </c>
      <c r="B229" s="7" t="s">
        <v>81</v>
      </c>
      <c r="C229" s="7" t="s">
        <v>82</v>
      </c>
      <c r="D229" s="476" t="s">
        <v>340</v>
      </c>
    </row>
    <row r="230" spans="1:4" ht="12.75">
      <c r="A230" s="112" t="str">
        <f t="shared" si="6"/>
        <v>Bergzone 4</v>
      </c>
      <c r="B230" s="7" t="s">
        <v>83</v>
      </c>
      <c r="C230" s="510" t="s">
        <v>84</v>
      </c>
      <c r="D230" s="625" t="s">
        <v>341</v>
      </c>
    </row>
    <row r="231" spans="1:4" ht="12.75">
      <c r="A231" s="112" t="str">
        <f t="shared" si="6"/>
        <v>Flächen im Ausland</v>
      </c>
      <c r="B231" s="7" t="s">
        <v>630</v>
      </c>
      <c r="C231" s="510" t="s">
        <v>629</v>
      </c>
      <c r="D231" s="625" t="s">
        <v>631</v>
      </c>
    </row>
    <row r="232" spans="1:4" ht="12.75">
      <c r="A232" s="112" t="str">
        <f t="shared" si="6"/>
        <v>Flächendifferenz von:</v>
      </c>
      <c r="B232" s="7" t="s">
        <v>172</v>
      </c>
      <c r="C232" s="510" t="s">
        <v>255</v>
      </c>
      <c r="D232" s="625" t="s">
        <v>476</v>
      </c>
    </row>
    <row r="233" spans="1:4" ht="12.75">
      <c r="A233" s="112" t="str">
        <f t="shared" si="6"/>
        <v>BFF-Fläche zu hoch</v>
      </c>
      <c r="B233" s="7" t="s">
        <v>639</v>
      </c>
      <c r="C233" s="510" t="s">
        <v>649</v>
      </c>
      <c r="D233" s="625" t="s">
        <v>648</v>
      </c>
    </row>
    <row r="234" spans="1:4" ht="12.75">
      <c r="A234" s="112" t="str">
        <f aca="true" t="shared" si="7" ref="A234:A265">IF($A$2=1,B234,IF($A$2=2,C234,IF($A$2=3,D234,"")))</f>
        <v>Haben Sie keine BFF?</v>
      </c>
      <c r="B234" s="7" t="s">
        <v>640</v>
      </c>
      <c r="C234" s="510" t="s">
        <v>646</v>
      </c>
      <c r="D234" s="625" t="s">
        <v>647</v>
      </c>
    </row>
    <row r="235" spans="1:5" ht="12.75">
      <c r="A235" s="112" t="str">
        <f t="shared" si="7"/>
        <v>Grundfutterbilanz ist nicht ausgeglichen!</v>
      </c>
      <c r="B235" s="7" t="s">
        <v>1</v>
      </c>
      <c r="C235" s="510" t="s">
        <v>2</v>
      </c>
      <c r="D235" s="625" t="s">
        <v>765</v>
      </c>
      <c r="E235" s="476" t="s">
        <v>437</v>
      </c>
    </row>
    <row r="236" spans="1:4" ht="16.5">
      <c r="A236" s="112">
        <f t="shared" si="7"/>
        <v>0</v>
      </c>
      <c r="D236" s="474"/>
    </row>
    <row r="237" spans="1:4" s="111" customFormat="1" ht="12.75">
      <c r="A237" s="111" t="str">
        <f t="shared" si="7"/>
        <v>Teil C: Zu- und Wegfuhr Grundfutter</v>
      </c>
      <c r="B237" s="111" t="s">
        <v>1055</v>
      </c>
      <c r="C237" s="111" t="s">
        <v>256</v>
      </c>
      <c r="D237" s="475" t="s">
        <v>477</v>
      </c>
    </row>
    <row r="238" spans="1:4" ht="12.75">
      <c r="A238" s="112" t="str">
        <f t="shared" si="7"/>
        <v>Grundfutterverzehr auf dem Betrieb</v>
      </c>
      <c r="B238" s="7" t="s">
        <v>937</v>
      </c>
      <c r="C238" s="112" t="s">
        <v>257</v>
      </c>
      <c r="D238" s="476" t="s">
        <v>478</v>
      </c>
    </row>
    <row r="239" spans="1:4" ht="12.75">
      <c r="A239" s="112" t="str">
        <f t="shared" si="7"/>
        <v>Zu- und Wegfuhr von Grundfutter und Grundfutterproduktion ausserhalb der Futterfläche (FF)</v>
      </c>
      <c r="B239" s="7" t="s">
        <v>1141</v>
      </c>
      <c r="C239" s="7" t="s">
        <v>115</v>
      </c>
      <c r="D239" s="476" t="s">
        <v>479</v>
      </c>
    </row>
    <row r="240" spans="1:4" ht="12.75">
      <c r="A240" s="112" t="str">
        <f t="shared" si="7"/>
        <v>Grundfuttertyp</v>
      </c>
      <c r="B240" s="7" t="s">
        <v>1109</v>
      </c>
      <c r="C240" s="7" t="s">
        <v>116</v>
      </c>
      <c r="D240" s="476" t="s">
        <v>480</v>
      </c>
    </row>
    <row r="241" spans="1:4" ht="12.75">
      <c r="A241" s="112" t="str">
        <f t="shared" si="7"/>
        <v>Menge</v>
      </c>
      <c r="B241" s="7" t="s">
        <v>1165</v>
      </c>
      <c r="C241" s="7" t="s">
        <v>117</v>
      </c>
      <c r="D241" s="476" t="s">
        <v>481</v>
      </c>
    </row>
    <row r="242" spans="1:4" ht="12.75">
      <c r="A242" s="112" t="str">
        <f t="shared" si="7"/>
        <v>dt</v>
      </c>
      <c r="B242" s="7" t="s">
        <v>145</v>
      </c>
      <c r="C242" s="7" t="s">
        <v>145</v>
      </c>
      <c r="D242" s="476" t="s">
        <v>376</v>
      </c>
    </row>
    <row r="243" spans="1:4" ht="12.75">
      <c r="A243" s="112" t="str">
        <f t="shared" si="7"/>
        <v>%</v>
      </c>
      <c r="B243" s="7" t="s">
        <v>147</v>
      </c>
      <c r="C243" s="7" t="s">
        <v>118</v>
      </c>
      <c r="D243" s="476" t="s">
        <v>147</v>
      </c>
    </row>
    <row r="244" spans="1:4" ht="12.75">
      <c r="A244" s="112" t="str">
        <f t="shared" si="7"/>
        <v>TS</v>
      </c>
      <c r="B244" s="7" t="s">
        <v>30</v>
      </c>
      <c r="C244" s="7" t="s">
        <v>122</v>
      </c>
      <c r="D244" s="476" t="s">
        <v>482</v>
      </c>
    </row>
    <row r="245" spans="1:4" ht="12.75">
      <c r="A245" s="112" t="str">
        <f t="shared" si="7"/>
        <v>Code</v>
      </c>
      <c r="B245" s="7" t="s">
        <v>1099</v>
      </c>
      <c r="C245" s="7" t="s">
        <v>1099</v>
      </c>
      <c r="D245" s="476" t="s">
        <v>483</v>
      </c>
    </row>
    <row r="246" spans="1:4" ht="12.75">
      <c r="A246" s="112" t="str">
        <f t="shared" si="7"/>
        <v>Wegfuhr</v>
      </c>
      <c r="B246" s="7" t="s">
        <v>1145</v>
      </c>
      <c r="C246" s="7" t="s">
        <v>119</v>
      </c>
      <c r="D246" s="476" t="s">
        <v>484</v>
      </c>
    </row>
    <row r="247" spans="1:4" ht="12.75">
      <c r="A247" s="112" t="str">
        <f t="shared" si="7"/>
        <v>dt TS</v>
      </c>
      <c r="B247" s="7" t="s">
        <v>1086</v>
      </c>
      <c r="C247" s="7" t="s">
        <v>1184</v>
      </c>
      <c r="D247" s="476" t="s">
        <v>372</v>
      </c>
    </row>
    <row r="248" spans="1:4" ht="12.75">
      <c r="A248" s="112" t="str">
        <f t="shared" si="7"/>
        <v>dt FS</v>
      </c>
      <c r="B248" s="7" t="s">
        <v>1142</v>
      </c>
      <c r="C248" s="7" t="s">
        <v>1143</v>
      </c>
      <c r="D248" s="476" t="s">
        <v>370</v>
      </c>
    </row>
    <row r="249" spans="1:4" ht="12.75">
      <c r="A249" s="112" t="str">
        <f t="shared" si="7"/>
        <v>TS</v>
      </c>
      <c r="B249" s="7" t="s">
        <v>30</v>
      </c>
      <c r="C249" s="7" t="s">
        <v>1144</v>
      </c>
      <c r="D249" s="476" t="s">
        <v>482</v>
      </c>
    </row>
    <row r="250" spans="1:4" ht="12.75">
      <c r="A250" s="112" t="str">
        <f t="shared" si="7"/>
        <v>Zufuhr</v>
      </c>
      <c r="B250" s="7" t="s">
        <v>1146</v>
      </c>
      <c r="C250" s="7" t="s">
        <v>120</v>
      </c>
      <c r="D250" s="476" t="s">
        <v>485</v>
      </c>
    </row>
    <row r="251" spans="1:4" ht="12.75">
      <c r="A251" s="112" t="str">
        <f t="shared" si="7"/>
        <v>ausser FF</v>
      </c>
      <c r="B251" s="7" t="s">
        <v>150</v>
      </c>
      <c r="C251" s="7" t="s">
        <v>121</v>
      </c>
      <c r="D251" s="476" t="s">
        <v>486</v>
      </c>
    </row>
    <row r="252" spans="1:4" ht="12.75">
      <c r="A252" s="112" t="str">
        <f t="shared" si="7"/>
        <v>dt TS)</v>
      </c>
      <c r="B252" s="7" t="s">
        <v>1149</v>
      </c>
      <c r="C252" s="7" t="s">
        <v>132</v>
      </c>
      <c r="D252" s="476" t="s">
        <v>487</v>
      </c>
    </row>
    <row r="253" spans="1:4" ht="12.75">
      <c r="A253" s="112" t="str">
        <f t="shared" si="7"/>
        <v>Gras</v>
      </c>
      <c r="B253" s="7" t="s">
        <v>952</v>
      </c>
      <c r="C253" s="7" t="s">
        <v>954</v>
      </c>
      <c r="D253" s="476" t="s">
        <v>488</v>
      </c>
    </row>
    <row r="254" spans="1:4" ht="12.75">
      <c r="A254" s="112" t="str">
        <f t="shared" si="7"/>
        <v>Grassilage</v>
      </c>
      <c r="B254" s="7" t="s">
        <v>1068</v>
      </c>
      <c r="C254" s="7" t="s">
        <v>1069</v>
      </c>
      <c r="D254" s="476" t="s">
        <v>489</v>
      </c>
    </row>
    <row r="255" spans="1:4" ht="12.75">
      <c r="A255" s="112" t="str">
        <f t="shared" si="7"/>
        <v>Graswürfel</v>
      </c>
      <c r="B255" s="7" t="s">
        <v>953</v>
      </c>
      <c r="C255" s="7" t="s">
        <v>258</v>
      </c>
      <c r="D255" s="476" t="s">
        <v>560</v>
      </c>
    </row>
    <row r="256" spans="1:4" ht="12.75">
      <c r="A256" s="112" t="str">
        <f t="shared" si="7"/>
        <v>Dürrfutter</v>
      </c>
      <c r="B256" s="7" t="s">
        <v>1147</v>
      </c>
      <c r="C256" s="7" t="s">
        <v>126</v>
      </c>
      <c r="D256" s="476" t="s">
        <v>490</v>
      </c>
    </row>
    <row r="257" spans="1:4" ht="12.75">
      <c r="A257" s="112" t="str">
        <f t="shared" si="7"/>
        <v>Dürrfutter, "nährstoffarm"</v>
      </c>
      <c r="B257" s="7" t="s">
        <v>1148</v>
      </c>
      <c r="C257" s="7" t="s">
        <v>128</v>
      </c>
      <c r="D257" s="476" t="s">
        <v>562</v>
      </c>
    </row>
    <row r="258" spans="1:4" ht="12.75">
      <c r="A258" s="112" t="str">
        <f t="shared" si="7"/>
        <v>Getreide-Ganzpflanzensilage</v>
      </c>
      <c r="B258" s="7" t="s">
        <v>928</v>
      </c>
      <c r="C258" s="112" t="s">
        <v>259</v>
      </c>
      <c r="D258" s="476" t="s">
        <v>491</v>
      </c>
    </row>
    <row r="259" spans="1:4" ht="12.75">
      <c r="A259" s="112" t="str">
        <f t="shared" si="7"/>
        <v>Silomais</v>
      </c>
      <c r="B259" s="7" t="s">
        <v>35</v>
      </c>
      <c r="C259" s="7" t="s">
        <v>101</v>
      </c>
      <c r="D259" s="476" t="s">
        <v>443</v>
      </c>
    </row>
    <row r="260" spans="1:4" ht="12.75">
      <c r="A260" s="112" t="str">
        <f t="shared" si="7"/>
        <v>Grünmais</v>
      </c>
      <c r="B260" s="7" t="s">
        <v>1101</v>
      </c>
      <c r="C260" s="457" t="s">
        <v>260</v>
      </c>
      <c r="D260" s="476" t="s">
        <v>444</v>
      </c>
    </row>
    <row r="261" spans="1:4" ht="12.75">
      <c r="A261" s="112" t="str">
        <f t="shared" si="7"/>
        <v>Mais Ganzpflanzenwürfel</v>
      </c>
      <c r="B261" s="7" t="s">
        <v>955</v>
      </c>
      <c r="C261" s="7" t="s">
        <v>261</v>
      </c>
      <c r="D261" s="476" t="s">
        <v>561</v>
      </c>
    </row>
    <row r="262" spans="1:4" ht="12.75">
      <c r="A262" s="112" t="str">
        <f t="shared" si="7"/>
        <v>CCM (für Rindviehmast)</v>
      </c>
      <c r="B262" s="7" t="s">
        <v>1110</v>
      </c>
      <c r="C262" s="7" t="s">
        <v>262</v>
      </c>
      <c r="D262" s="476" t="s">
        <v>492</v>
      </c>
    </row>
    <row r="263" spans="1:4" ht="12.75">
      <c r="A263" s="112" t="str">
        <f t="shared" si="7"/>
        <v>Futterrüben</v>
      </c>
      <c r="B263" s="7" t="s">
        <v>36</v>
      </c>
      <c r="C263" s="7" t="s">
        <v>129</v>
      </c>
      <c r="D263" s="476" t="s">
        <v>493</v>
      </c>
    </row>
    <row r="264" spans="1:4" ht="12.75">
      <c r="A264" s="112" t="str">
        <f t="shared" si="7"/>
        <v>Zuckerrüben</v>
      </c>
      <c r="B264" s="7" t="s">
        <v>97</v>
      </c>
      <c r="C264" s="7" t="s">
        <v>130</v>
      </c>
      <c r="D264" s="476" t="s">
        <v>494</v>
      </c>
    </row>
    <row r="265" spans="1:4" ht="12.75">
      <c r="A265" s="112" t="str">
        <f t="shared" si="7"/>
        <v>Zuckerrübenschnitzel, frisch</v>
      </c>
      <c r="B265" s="7" t="s">
        <v>956</v>
      </c>
      <c r="C265" s="7" t="s">
        <v>957</v>
      </c>
      <c r="D265" s="476" t="s">
        <v>495</v>
      </c>
    </row>
    <row r="266" spans="1:4" ht="12.75">
      <c r="A266" s="112" t="str">
        <f aca="true" t="shared" si="8" ref="A266:A300">IF($A$2=1,B266,IF($A$2=2,C266,IF($A$2=3,D266,"")))</f>
        <v>Zuckerrübenschnitzel, siliert</v>
      </c>
      <c r="B266" s="7" t="s">
        <v>958</v>
      </c>
      <c r="C266" s="7" t="s">
        <v>960</v>
      </c>
      <c r="D266" s="476" t="s">
        <v>496</v>
      </c>
    </row>
    <row r="267" spans="1:4" ht="12.75">
      <c r="A267" s="112" t="str">
        <f t="shared" si="8"/>
        <v>Zuckerrübenschnitzel, getrocknet</v>
      </c>
      <c r="B267" s="7" t="s">
        <v>959</v>
      </c>
      <c r="C267" s="7" t="s">
        <v>965</v>
      </c>
      <c r="D267" s="476" t="s">
        <v>497</v>
      </c>
    </row>
    <row r="268" spans="1:4" ht="12.75">
      <c r="A268" s="112" t="str">
        <f t="shared" si="8"/>
        <v>Rübenblätter</v>
      </c>
      <c r="B268" s="7" t="s">
        <v>961</v>
      </c>
      <c r="C268" s="112" t="s">
        <v>263</v>
      </c>
      <c r="D268" s="476" t="s">
        <v>559</v>
      </c>
    </row>
    <row r="269" spans="1:4" ht="12.75">
      <c r="A269" s="112" t="str">
        <f t="shared" si="8"/>
        <v>Kartoffeln</v>
      </c>
      <c r="B269" s="7" t="s">
        <v>969</v>
      </c>
      <c r="C269" s="7" t="s">
        <v>131</v>
      </c>
      <c r="D269" s="476" t="s">
        <v>498</v>
      </c>
    </row>
    <row r="270" spans="1:4" ht="12.75">
      <c r="A270" s="112" t="str">
        <f t="shared" si="8"/>
        <v>Chicorée-Wurzeln</v>
      </c>
      <c r="B270" s="7" t="s">
        <v>962</v>
      </c>
      <c r="C270" s="7" t="s">
        <v>964</v>
      </c>
      <c r="D270" s="476" t="s">
        <v>499</v>
      </c>
    </row>
    <row r="271" spans="1:4" ht="12.75">
      <c r="A271" s="112" t="str">
        <f t="shared" si="8"/>
        <v>Abgang Obst- / Gemüseverwertung</v>
      </c>
      <c r="B271" s="7" t="s">
        <v>963</v>
      </c>
      <c r="C271" s="112" t="s">
        <v>264</v>
      </c>
      <c r="D271" s="476" t="s">
        <v>500</v>
      </c>
    </row>
    <row r="272" spans="1:4" ht="12.75">
      <c r="A272" s="112" t="str">
        <f t="shared" si="8"/>
        <v>Biertreber</v>
      </c>
      <c r="B272" s="7" t="s">
        <v>525</v>
      </c>
      <c r="C272" s="112" t="s">
        <v>526</v>
      </c>
      <c r="D272" s="7" t="s">
        <v>527</v>
      </c>
    </row>
    <row r="273" spans="1:4" ht="12.75">
      <c r="A273" s="112" t="str">
        <f t="shared" si="8"/>
        <v>Zufuhr von Stroh zur Verfütterung</v>
      </c>
      <c r="B273" s="7" t="s">
        <v>650</v>
      </c>
      <c r="C273" s="7" t="s">
        <v>265</v>
      </c>
      <c r="D273" s="476" t="s">
        <v>501</v>
      </c>
    </row>
    <row r="274" spans="1:6" ht="12.75">
      <c r="A274" s="112" t="str">
        <f t="shared" si="8"/>
        <v>C1: Total Wegfuhr Wiesen und Weidefutter</v>
      </c>
      <c r="B274" s="7" t="s">
        <v>26</v>
      </c>
      <c r="C274" s="7" t="s">
        <v>266</v>
      </c>
      <c r="D274" s="476" t="s">
        <v>502</v>
      </c>
      <c r="F274" s="7" t="s">
        <v>1108</v>
      </c>
    </row>
    <row r="275" spans="1:4" ht="12.75">
      <c r="A275" s="112" t="str">
        <f t="shared" si="8"/>
        <v>C2: Total Wegfuhr übrige Grundfutter</v>
      </c>
      <c r="B275" s="7" t="s">
        <v>938</v>
      </c>
      <c r="C275" s="7" t="s">
        <v>267</v>
      </c>
      <c r="D275" s="476" t="s">
        <v>503</v>
      </c>
    </row>
    <row r="276" spans="1:4" ht="12.75">
      <c r="A276" s="112" t="str">
        <f t="shared" si="8"/>
        <v>C3: Total Zufuhr Wiesen- und Weidefutter</v>
      </c>
      <c r="B276" s="7" t="s">
        <v>27</v>
      </c>
      <c r="C276" s="7" t="s">
        <v>268</v>
      </c>
      <c r="D276" s="476" t="s">
        <v>504</v>
      </c>
    </row>
    <row r="277" spans="1:4" ht="12.75">
      <c r="A277" s="112" t="str">
        <f t="shared" si="8"/>
        <v>C4: Total Zufuhr übrige Grundfutter</v>
      </c>
      <c r="B277" s="7" t="s">
        <v>939</v>
      </c>
      <c r="C277" s="112" t="s">
        <v>269</v>
      </c>
      <c r="D277" s="476" t="s">
        <v>505</v>
      </c>
    </row>
    <row r="278" spans="1:4" ht="12.75">
      <c r="A278" s="112" t="str">
        <f t="shared" si="8"/>
        <v>C5: Grundfutterproduktion ausserhalb der Futterfläche</v>
      </c>
      <c r="B278" s="7" t="s">
        <v>940</v>
      </c>
      <c r="C278" s="7" t="s">
        <v>270</v>
      </c>
      <c r="D278" s="476" t="s">
        <v>506</v>
      </c>
    </row>
    <row r="279" spans="1:4" ht="12.75">
      <c r="A279" s="112" t="str">
        <f t="shared" si="8"/>
        <v>Total Netto-Grundfutterbedarf</v>
      </c>
      <c r="B279" s="7" t="s">
        <v>1150</v>
      </c>
      <c r="C279" s="7" t="s">
        <v>135</v>
      </c>
      <c r="D279" s="476" t="s">
        <v>507</v>
      </c>
    </row>
    <row r="280" spans="1:4" ht="12.75">
      <c r="A280" s="112" t="str">
        <f t="shared" si="8"/>
        <v>C6: Zuzüglich Lagerungs- und Krippenverluste, 0-5% vom Netto-Grundfutterbedarf</v>
      </c>
      <c r="B280" s="96" t="s">
        <v>294</v>
      </c>
      <c r="C280" s="459" t="s">
        <v>271</v>
      </c>
      <c r="D280" s="476" t="s">
        <v>508</v>
      </c>
    </row>
    <row r="281" spans="1:4" ht="12.75">
      <c r="A281" s="112" t="str">
        <f t="shared" si="8"/>
        <v>C7: Fehlerbereich der Grundfutterbilanz: 0-5% vom Netto-Grundfutterbedarf</v>
      </c>
      <c r="B281" s="96" t="s">
        <v>293</v>
      </c>
      <c r="C281" s="96" t="s">
        <v>272</v>
      </c>
      <c r="D281" s="477" t="s">
        <v>509</v>
      </c>
    </row>
    <row r="282" spans="1:4" ht="12.75">
      <c r="A282" s="112" t="str">
        <f t="shared" si="8"/>
        <v>Total auf der Futterfläche zu produzierendes Grundfutter (GFprod)</v>
      </c>
      <c r="B282" s="7" t="s">
        <v>1151</v>
      </c>
      <c r="C282" s="7" t="s">
        <v>273</v>
      </c>
      <c r="D282" s="476" t="s">
        <v>510</v>
      </c>
    </row>
    <row r="283" spans="1:4" ht="12.75">
      <c r="A283" s="112"/>
      <c r="D283" s="476"/>
    </row>
    <row r="284" spans="1:4" s="111" customFormat="1" ht="12.75">
      <c r="A284" s="111" t="str">
        <f t="shared" si="8"/>
        <v>Teil D: Bilanz</v>
      </c>
      <c r="B284" s="111" t="s">
        <v>17</v>
      </c>
      <c r="C284" s="111" t="s">
        <v>274</v>
      </c>
      <c r="D284" s="475" t="s">
        <v>511</v>
      </c>
    </row>
    <row r="285" spans="1:4" ht="12.75">
      <c r="A285" s="112" t="str">
        <f t="shared" si="8"/>
        <v>Gesamtverzehr</v>
      </c>
      <c r="B285" s="7" t="s">
        <v>6</v>
      </c>
      <c r="C285" s="7" t="s">
        <v>1041</v>
      </c>
      <c r="D285" s="476" t="s">
        <v>512</v>
      </c>
    </row>
    <row r="286" spans="1:4" ht="12.75">
      <c r="A286" s="112" t="str">
        <f t="shared" si="8"/>
        <v>[+] Verluste und Fehlerbereich</v>
      </c>
      <c r="B286" s="7" t="s">
        <v>922</v>
      </c>
      <c r="C286" s="510" t="s">
        <v>923</v>
      </c>
      <c r="D286" s="476" t="s">
        <v>513</v>
      </c>
    </row>
    <row r="287" spans="1:4" ht="12.75">
      <c r="A287" s="112" t="str">
        <f t="shared" si="8"/>
        <v>[+] Verzehr während Sömmerung</v>
      </c>
      <c r="B287" s="7" t="s">
        <v>1008</v>
      </c>
      <c r="C287" s="510" t="s">
        <v>1009</v>
      </c>
      <c r="D287" s="596" t="s">
        <v>467</v>
      </c>
    </row>
    <row r="288" spans="1:4" ht="12.75">
      <c r="A288" s="112" t="str">
        <f t="shared" si="8"/>
        <v>Produktion</v>
      </c>
      <c r="B288" s="7" t="s">
        <v>3</v>
      </c>
      <c r="C288" s="510" t="s">
        <v>1176</v>
      </c>
      <c r="D288" s="476" t="s">
        <v>514</v>
      </c>
    </row>
    <row r="289" spans="1:4" ht="12.75">
      <c r="A289" s="112" t="str">
        <f t="shared" si="8"/>
        <v>[+] Zufuhr</v>
      </c>
      <c r="B289" s="7" t="s">
        <v>4</v>
      </c>
      <c r="C289" s="510" t="s">
        <v>1034</v>
      </c>
      <c r="D289" s="476" t="s">
        <v>515</v>
      </c>
    </row>
    <row r="290" spans="1:4" ht="12.75">
      <c r="A290" s="112" t="str">
        <f t="shared" si="8"/>
        <v>[+] Futter während Sömmerung</v>
      </c>
      <c r="B290" s="7" t="s">
        <v>1010</v>
      </c>
      <c r="C290" s="510" t="s">
        <v>849</v>
      </c>
      <c r="D290" s="596" t="s">
        <v>468</v>
      </c>
    </row>
    <row r="291" spans="1:4" ht="12.75">
      <c r="A291" s="112" t="str">
        <f t="shared" si="8"/>
        <v>[-] Wegfuhr</v>
      </c>
      <c r="B291" s="7" t="s">
        <v>5</v>
      </c>
      <c r="C291" s="510" t="s">
        <v>1035</v>
      </c>
      <c r="D291" s="476" t="s">
        <v>484</v>
      </c>
    </row>
    <row r="292" spans="1:4" ht="12.75">
      <c r="A292" s="112" t="str">
        <f t="shared" si="8"/>
        <v>[-] Grundfutter übrige Tiere</v>
      </c>
      <c r="B292" s="7" t="s">
        <v>7</v>
      </c>
      <c r="C292" s="7" t="s">
        <v>275</v>
      </c>
      <c r="D292" s="476" t="s">
        <v>516</v>
      </c>
    </row>
    <row r="293" spans="1:4" ht="12.75">
      <c r="A293" s="112" t="str">
        <f t="shared" si="8"/>
        <v>Bilanz                                      </v>
      </c>
      <c r="B293" s="7" t="s">
        <v>8</v>
      </c>
      <c r="C293" s="7" t="s">
        <v>1036</v>
      </c>
      <c r="D293" s="476" t="s">
        <v>517</v>
      </c>
    </row>
    <row r="294" spans="1:5" ht="12.75" customHeight="1">
      <c r="A294" s="112" t="str">
        <f t="shared" si="8"/>
        <v>Erforderliche Anteile an der Ration</v>
      </c>
      <c r="B294" s="7" t="s">
        <v>728</v>
      </c>
      <c r="C294" s="456" t="s">
        <v>862</v>
      </c>
      <c r="D294" s="112" t="s">
        <v>847</v>
      </c>
      <c r="E294" s="627"/>
    </row>
    <row r="295" spans="1:5" ht="12.75">
      <c r="A295" s="112" t="str">
        <f t="shared" si="8"/>
        <v>Total</v>
      </c>
      <c r="B295" s="7" t="s">
        <v>102</v>
      </c>
      <c r="C295" s="7" t="s">
        <v>926</v>
      </c>
      <c r="D295" s="477" t="s">
        <v>371</v>
      </c>
      <c r="E295" s="627"/>
    </row>
    <row r="296" spans="1:4" ht="12.75">
      <c r="A296" s="112" t="str">
        <f t="shared" si="8"/>
        <v>Bedarf</v>
      </c>
      <c r="B296" s="7" t="s">
        <v>1077</v>
      </c>
      <c r="C296" s="7" t="s">
        <v>927</v>
      </c>
      <c r="D296" s="477" t="s">
        <v>518</v>
      </c>
    </row>
    <row r="297" spans="1:4" ht="12.75">
      <c r="A297" s="112" t="str">
        <f t="shared" si="8"/>
        <v>Wiesen- und</v>
      </c>
      <c r="B297" s="7" t="s">
        <v>62</v>
      </c>
      <c r="C297" s="7" t="s">
        <v>288</v>
      </c>
      <c r="D297" s="477" t="s">
        <v>519</v>
      </c>
    </row>
    <row r="298" spans="1:4" ht="12.75">
      <c r="A298" s="112" t="str">
        <f t="shared" si="8"/>
        <v>Weidefutter</v>
      </c>
      <c r="B298" s="7" t="s">
        <v>151</v>
      </c>
      <c r="C298" s="7" t="s">
        <v>276</v>
      </c>
      <c r="D298" s="477" t="s">
        <v>520</v>
      </c>
    </row>
    <row r="299" spans="1:4" ht="12.75">
      <c r="A299" s="112" t="str">
        <f t="shared" si="8"/>
        <v>Übriges Grundfutter</v>
      </c>
      <c r="B299" s="7" t="s">
        <v>9</v>
      </c>
      <c r="C299" s="7" t="s">
        <v>277</v>
      </c>
      <c r="D299" s="477" t="s">
        <v>521</v>
      </c>
    </row>
    <row r="300" spans="1:4" ht="12.75">
      <c r="A300" s="112" t="str">
        <f t="shared" si="8"/>
        <v>total</v>
      </c>
      <c r="B300" s="7" t="s">
        <v>1183</v>
      </c>
      <c r="C300" s="7" t="s">
        <v>651</v>
      </c>
      <c r="D300" s="477" t="s">
        <v>1183</v>
      </c>
    </row>
    <row r="301" spans="1:4" ht="12.75">
      <c r="A301" s="112" t="str">
        <f aca="true" t="shared" si="9" ref="A301:A333">IF($A$2=1,B301,IF($A$2=2,C301,IF($A$2=3,D301,"")))</f>
        <v>Kraftfutter</v>
      </c>
      <c r="B301" s="7" t="s">
        <v>1177</v>
      </c>
      <c r="C301" s="7" t="s">
        <v>278</v>
      </c>
      <c r="D301" s="477" t="s">
        <v>572</v>
      </c>
    </row>
    <row r="302" spans="1:4" ht="12.75">
      <c r="A302" s="112" t="str">
        <f t="shared" si="9"/>
        <v>(A4+A7 in TS)</v>
      </c>
      <c r="B302" s="7" t="s">
        <v>1013</v>
      </c>
      <c r="C302" s="7" t="s">
        <v>1014</v>
      </c>
      <c r="D302" s="477" t="s">
        <v>1015</v>
      </c>
    </row>
    <row r="303" spans="1:4" ht="12.75">
      <c r="A303" s="112" t="str">
        <f t="shared" si="9"/>
        <v>RGVE/ha Grünl.</v>
      </c>
      <c r="B303" s="7" t="s">
        <v>100</v>
      </c>
      <c r="C303" s="7" t="s">
        <v>1094</v>
      </c>
      <c r="D303" s="477" t="s">
        <v>522</v>
      </c>
    </row>
    <row r="304" spans="1:4" ht="12.75">
      <c r="A304" s="112" t="str">
        <f t="shared" si="9"/>
        <v>Wegfuhr ist grösser als Produktion</v>
      </c>
      <c r="B304" s="7" t="s">
        <v>626</v>
      </c>
      <c r="C304" s="510" t="s">
        <v>911</v>
      </c>
      <c r="D304" s="529" t="s">
        <v>734</v>
      </c>
    </row>
    <row r="305" spans="1:4" ht="14.25">
      <c r="A305" s="112" t="str">
        <f t="shared" si="9"/>
        <v>Erfüllung der erforderlichen Anteile an der Ration</v>
      </c>
      <c r="B305" s="7" t="s">
        <v>751</v>
      </c>
      <c r="C305" s="456" t="s">
        <v>863</v>
      </c>
      <c r="D305" s="112" t="s">
        <v>848</v>
      </c>
    </row>
    <row r="306" spans="1:4" ht="12.75">
      <c r="A306" s="112" t="str">
        <f t="shared" si="9"/>
        <v>Erforderlicher Mindesttierbesatz (RGVE/ha Grünfläche) für 100 % der GMF-Beiträge</v>
      </c>
      <c r="B306" s="7" t="s">
        <v>625</v>
      </c>
      <c r="C306" s="529" t="s">
        <v>733</v>
      </c>
      <c r="D306" s="529" t="s">
        <v>732</v>
      </c>
    </row>
    <row r="307" spans="1:4" ht="12.75">
      <c r="A307" s="112" t="str">
        <f t="shared" si="9"/>
        <v>ja</v>
      </c>
      <c r="B307" s="7" t="s">
        <v>1028</v>
      </c>
      <c r="C307" s="7" t="s">
        <v>1029</v>
      </c>
      <c r="D307" s="477" t="s">
        <v>358</v>
      </c>
    </row>
    <row r="308" spans="1:4" ht="12.75">
      <c r="A308" s="112" t="str">
        <f t="shared" si="9"/>
        <v>nein</v>
      </c>
      <c r="B308" s="7" t="s">
        <v>1030</v>
      </c>
      <c r="C308" s="7" t="s">
        <v>1031</v>
      </c>
      <c r="D308" s="476" t="s">
        <v>359</v>
      </c>
    </row>
    <row r="309" spans="1:4" ht="12.75">
      <c r="A309" s="112" t="str">
        <f t="shared" si="9"/>
        <v>Die Herstellerin der Software oder die Beratung übernehmen keine Verantwortung, für Schäden, die aus der Nutzung der Software entstehen.</v>
      </c>
      <c r="B309" s="7" t="s">
        <v>289</v>
      </c>
      <c r="C309" s="7" t="s">
        <v>290</v>
      </c>
      <c r="D309" s="476" t="s">
        <v>571</v>
      </c>
    </row>
    <row r="310" spans="1:4" ht="12.75">
      <c r="A310" s="112" t="str">
        <f t="shared" si="9"/>
        <v>Dieses Instrument dient als Nachweis für die Erfüllung der Anforderungen an die Futterbilanz für das Programm der GMF.</v>
      </c>
      <c r="B310" s="7" t="s">
        <v>582</v>
      </c>
      <c r="C310" s="510" t="s">
        <v>912</v>
      </c>
      <c r="D310" s="510" t="s">
        <v>731</v>
      </c>
    </row>
    <row r="311" spans="1:4" ht="12.75">
      <c r="A311" s="112" t="str">
        <f t="shared" si="9"/>
        <v>Ort und Datum:</v>
      </c>
      <c r="B311" s="7" t="s">
        <v>1037</v>
      </c>
      <c r="C311" s="7" t="s">
        <v>1039</v>
      </c>
      <c r="D311" s="476" t="s">
        <v>523</v>
      </c>
    </row>
    <row r="312" spans="1:4" ht="12.75">
      <c r="A312" s="112" t="str">
        <f t="shared" si="9"/>
        <v>Unterschrift:</v>
      </c>
      <c r="B312" s="7" t="s">
        <v>1038</v>
      </c>
      <c r="C312" s="7" t="s">
        <v>1040</v>
      </c>
      <c r="D312" s="476" t="s">
        <v>524</v>
      </c>
    </row>
    <row r="313" spans="1:4" ht="12.75">
      <c r="A313" s="112"/>
      <c r="D313" s="476"/>
    </row>
    <row r="314" spans="1:4" ht="12.75">
      <c r="A314" s="111" t="s">
        <v>548</v>
      </c>
      <c r="D314" s="476"/>
    </row>
    <row r="315" spans="1:4" s="111" customFormat="1" ht="12.75">
      <c r="A315" s="112" t="str">
        <f t="shared" si="9"/>
        <v>Tiernormen</v>
      </c>
      <c r="B315" s="111" t="s">
        <v>919</v>
      </c>
      <c r="C315" s="111" t="s">
        <v>1102</v>
      </c>
      <c r="D315" s="475" t="s">
        <v>528</v>
      </c>
    </row>
    <row r="316" spans="1:4" ht="12.75">
      <c r="A316" s="112" t="str">
        <f t="shared" si="9"/>
        <v>Tierkategorie</v>
      </c>
      <c r="B316" s="7" t="s">
        <v>1067</v>
      </c>
      <c r="C316" s="7" t="s">
        <v>1179</v>
      </c>
      <c r="D316" s="476" t="s">
        <v>529</v>
      </c>
    </row>
    <row r="317" spans="1:4" ht="12.75">
      <c r="A317" s="112" t="str">
        <f t="shared" si="9"/>
        <v>Einheit</v>
      </c>
      <c r="B317" s="7" t="s">
        <v>1085</v>
      </c>
      <c r="C317" s="7" t="s">
        <v>144</v>
      </c>
      <c r="D317" s="476" t="s">
        <v>361</v>
      </c>
    </row>
    <row r="318" spans="1:4" ht="12.75">
      <c r="A318" s="112" t="str">
        <f t="shared" si="9"/>
        <v>Grundfutter-</v>
      </c>
      <c r="B318" s="7" t="s">
        <v>39</v>
      </c>
      <c r="C318" s="7" t="s">
        <v>1178</v>
      </c>
      <c r="D318" s="476" t="s">
        <v>367</v>
      </c>
    </row>
    <row r="319" spans="1:4" ht="12.75">
      <c r="A319" s="112" t="str">
        <f t="shared" si="9"/>
        <v>verzehr</v>
      </c>
      <c r="B319" s="7" t="s">
        <v>38</v>
      </c>
      <c r="C319" s="7" t="s">
        <v>1103</v>
      </c>
      <c r="D319" s="476" t="s">
        <v>530</v>
      </c>
    </row>
    <row r="320" spans="1:4" ht="12.75">
      <c r="A320" s="112" t="str">
        <f t="shared" si="9"/>
        <v>TS/Tag</v>
      </c>
      <c r="B320" s="7" t="s">
        <v>920</v>
      </c>
      <c r="C320" s="7" t="s">
        <v>1104</v>
      </c>
      <c r="D320" s="476" t="s">
        <v>531</v>
      </c>
    </row>
    <row r="321" spans="1:4" ht="12.75">
      <c r="A321" s="112" t="str">
        <f t="shared" si="9"/>
        <v>TS/Jahr</v>
      </c>
      <c r="B321" s="7" t="s">
        <v>921</v>
      </c>
      <c r="C321" s="7" t="s">
        <v>924</v>
      </c>
      <c r="D321" s="476" t="s">
        <v>532</v>
      </c>
    </row>
    <row r="322" spans="1:4" ht="12.75">
      <c r="A322" s="112" t="str">
        <f t="shared" si="9"/>
        <v>GVE</v>
      </c>
      <c r="B322" s="7" t="s">
        <v>1139</v>
      </c>
      <c r="C322" s="7" t="s">
        <v>1076</v>
      </c>
      <c r="D322" s="476" t="s">
        <v>533</v>
      </c>
    </row>
    <row r="323" spans="1:4" ht="12.75">
      <c r="A323" s="112" t="str">
        <f t="shared" si="9"/>
        <v>Faktoren</v>
      </c>
      <c r="B323" s="7" t="s">
        <v>925</v>
      </c>
      <c r="C323" s="7" t="s">
        <v>1140</v>
      </c>
      <c r="D323" s="476" t="s">
        <v>534</v>
      </c>
    </row>
    <row r="324" spans="1:4" ht="12.75">
      <c r="A324" s="112" t="str">
        <f t="shared" si="9"/>
        <v>Einheit</v>
      </c>
      <c r="B324" s="7" t="s">
        <v>1085</v>
      </c>
      <c r="C324" s="7" t="s">
        <v>1075</v>
      </c>
      <c r="D324" s="476" t="s">
        <v>361</v>
      </c>
    </row>
    <row r="325" spans="1:4" ht="12.75">
      <c r="A325" s="112" t="str">
        <f t="shared" si="9"/>
        <v>100 Pl.</v>
      </c>
      <c r="B325" s="7" t="s">
        <v>72</v>
      </c>
      <c r="C325" s="7" t="s">
        <v>48</v>
      </c>
      <c r="D325" s="476" t="s">
        <v>535</v>
      </c>
    </row>
    <row r="326" spans="1:4" ht="12.75">
      <c r="A326" s="112" t="str">
        <f t="shared" si="9"/>
        <v>1 Stück</v>
      </c>
      <c r="B326" s="7" t="s">
        <v>43</v>
      </c>
      <c r="C326" s="7" t="s">
        <v>41</v>
      </c>
      <c r="D326" s="476" t="s">
        <v>536</v>
      </c>
    </row>
    <row r="327" spans="1:4" ht="12.75">
      <c r="A327" s="112" t="str">
        <f t="shared" si="9"/>
        <v>1 Platz</v>
      </c>
      <c r="B327" s="7" t="s">
        <v>44</v>
      </c>
      <c r="C327" s="7" t="s">
        <v>42</v>
      </c>
      <c r="D327" s="476" t="s">
        <v>537</v>
      </c>
    </row>
    <row r="328" spans="1:4" ht="12.75">
      <c r="A328" s="112" t="str">
        <f t="shared" si="9"/>
        <v>Grenzwerte:</v>
      </c>
      <c r="B328" s="7" t="s">
        <v>176</v>
      </c>
      <c r="C328" s="7" t="s">
        <v>180</v>
      </c>
      <c r="D328" s="155" t="s">
        <v>570</v>
      </c>
    </row>
    <row r="329" spans="1:4" ht="12.75">
      <c r="A329" s="112" t="str">
        <f t="shared" si="9"/>
        <v>Talgebiet</v>
      </c>
      <c r="B329" s="7" t="s">
        <v>178</v>
      </c>
      <c r="C329" s="7" t="s">
        <v>181</v>
      </c>
      <c r="D329" s="155" t="s">
        <v>569</v>
      </c>
    </row>
    <row r="330" spans="1:4" ht="12.75">
      <c r="A330" s="112" t="str">
        <f t="shared" si="9"/>
        <v>Berggebiet</v>
      </c>
      <c r="B330" s="7" t="s">
        <v>179</v>
      </c>
      <c r="C330" s="7" t="s">
        <v>182</v>
      </c>
      <c r="D330" s="155" t="s">
        <v>568</v>
      </c>
    </row>
    <row r="331" spans="1:4" ht="12.75">
      <c r="A331" s="112" t="str">
        <f t="shared" si="9"/>
        <v>rot = nicht erfüllt</v>
      </c>
      <c r="B331" s="7" t="s">
        <v>177</v>
      </c>
      <c r="C331" s="7" t="s">
        <v>183</v>
      </c>
      <c r="D331" s="155" t="s">
        <v>567</v>
      </c>
    </row>
    <row r="332" spans="1:4" ht="12.75">
      <c r="A332" s="112" t="str">
        <f t="shared" si="9"/>
        <v>Keine Gebietszuteilung</v>
      </c>
      <c r="B332" s="7" t="s">
        <v>583</v>
      </c>
      <c r="C332" s="510" t="s">
        <v>913</v>
      </c>
      <c r="D332" s="529" t="s">
        <v>735</v>
      </c>
    </row>
    <row r="333" spans="1:4" ht="12.75">
      <c r="A333" s="112" t="str">
        <f t="shared" si="9"/>
        <v>Grundfutter</v>
      </c>
      <c r="B333" s="7" t="s">
        <v>1047</v>
      </c>
      <c r="C333" s="510" t="s">
        <v>1048</v>
      </c>
      <c r="D333" s="529" t="s">
        <v>1049</v>
      </c>
    </row>
    <row r="334" ht="12.75">
      <c r="D334" s="529"/>
    </row>
    <row r="335" ht="12.75">
      <c r="A335" s="111" t="s">
        <v>736</v>
      </c>
    </row>
    <row r="336" spans="1:4" ht="12.75">
      <c r="A336" s="112" t="str">
        <f aca="true" t="shared" si="10" ref="A336:A341">IF($A$2=1,B336,IF($A$2=2,C336,IF($A$2=3,D336,"")))</f>
        <v>Informationsteil</v>
      </c>
      <c r="B336" s="112" t="s">
        <v>750</v>
      </c>
      <c r="C336" s="456" t="s">
        <v>757</v>
      </c>
      <c r="D336" s="112" t="s">
        <v>658</v>
      </c>
    </row>
    <row r="337" spans="1:4" ht="12.75">
      <c r="A337" s="112" t="str">
        <f t="shared" si="10"/>
        <v>Die Berechnung des massgebenden Tierbesatzes für die Futterbilanz 2015 basiert auf dem effektiven </v>
      </c>
      <c r="B337" s="162" t="s">
        <v>586</v>
      </c>
      <c r="C337" s="456" t="s">
        <v>588</v>
      </c>
      <c r="D337" s="112" t="s">
        <v>590</v>
      </c>
    </row>
    <row r="338" spans="1:4" ht="12.75">
      <c r="A338" s="112" t="str">
        <f t="shared" si="10"/>
        <v>Tierbestand in der Periode vom 1.1.2015 - 31.12.2015. Weil dieser zur Zeit noch nicht bekannt ist, </v>
      </c>
      <c r="B338" s="7" t="s">
        <v>587</v>
      </c>
      <c r="C338" s="456" t="s">
        <v>589</v>
      </c>
      <c r="D338" s="112" t="s">
        <v>591</v>
      </c>
    </row>
    <row r="339" spans="1:4" ht="12.75">
      <c r="A339" s="112" t="str">
        <f t="shared" si="10"/>
        <v>ist die Höhe der Beiträge nur eine Schätzung.</v>
      </c>
      <c r="B339" s="7" t="s">
        <v>764</v>
      </c>
      <c r="C339" s="456" t="s">
        <v>763</v>
      </c>
      <c r="D339" s="112" t="s">
        <v>668</v>
      </c>
    </row>
    <row r="340" spans="1:4" ht="12.75">
      <c r="A340" s="112" t="str">
        <f t="shared" si="10"/>
        <v>RGVE effektiv auf dem Betrieb</v>
      </c>
      <c r="B340" s="530" t="s">
        <v>866</v>
      </c>
      <c r="C340" s="530" t="s">
        <v>737</v>
      </c>
      <c r="D340" s="541" t="s">
        <v>738</v>
      </c>
    </row>
    <row r="341" spans="1:4" ht="12.75">
      <c r="A341" s="112" t="str">
        <f t="shared" si="10"/>
        <v>Effektiver Mindesttierbesatz (RGVE/ha Grünfläche)</v>
      </c>
      <c r="B341" s="112" t="s">
        <v>739</v>
      </c>
      <c r="C341" s="112" t="s">
        <v>740</v>
      </c>
      <c r="D341" s="529" t="s">
        <v>741</v>
      </c>
    </row>
    <row r="342" spans="1:4" ht="12.75">
      <c r="A342" s="112" t="str">
        <f aca="true" t="shared" si="11" ref="A342:A356">IF($A$2=1,B342,IF($A$2=2,C342,IF($A$2=3,D342,"")))</f>
        <v>Erfüllung des Anteils … an der Ration</v>
      </c>
      <c r="B342" s="112" t="s">
        <v>867</v>
      </c>
      <c r="C342" s="456" t="s">
        <v>756</v>
      </c>
      <c r="D342" s="112" t="s">
        <v>659</v>
      </c>
    </row>
    <row r="343" spans="1:4" ht="12.75">
      <c r="A343" s="112" t="str">
        <f t="shared" si="11"/>
        <v>  - Wiesen- und Weidefutter</v>
      </c>
      <c r="B343" s="112" t="s">
        <v>868</v>
      </c>
      <c r="C343" s="456" t="s">
        <v>871</v>
      </c>
      <c r="D343" s="112" t="s">
        <v>660</v>
      </c>
    </row>
    <row r="344" spans="1:4" ht="12.75">
      <c r="A344" s="112" t="str">
        <f t="shared" si="11"/>
        <v>  - übriges Grundfutter</v>
      </c>
      <c r="B344" s="112" t="s">
        <v>869</v>
      </c>
      <c r="C344" s="456" t="s">
        <v>872</v>
      </c>
      <c r="D344" s="112" t="s">
        <v>661</v>
      </c>
    </row>
    <row r="345" spans="1:4" ht="12.75">
      <c r="A345" s="112" t="str">
        <f t="shared" si="11"/>
        <v>  - Kraftfutter</v>
      </c>
      <c r="B345" s="112" t="s">
        <v>870</v>
      </c>
      <c r="C345" s="456" t="s">
        <v>873</v>
      </c>
      <c r="D345" s="112" t="s">
        <v>662</v>
      </c>
    </row>
    <row r="346" spans="1:4" ht="12.75">
      <c r="A346" s="112" t="str">
        <f t="shared" si="11"/>
        <v>Erfüllung des Mindesttierbesatzes für</v>
      </c>
      <c r="B346" s="112" t="s">
        <v>742</v>
      </c>
      <c r="C346" s="456" t="s">
        <v>743</v>
      </c>
      <c r="D346" s="112" t="s">
        <v>744</v>
      </c>
    </row>
    <row r="347" spans="1:4" ht="12.75">
      <c r="A347" s="112" t="str">
        <f t="shared" si="11"/>
        <v>% der GMF-Beiträge</v>
      </c>
      <c r="B347" s="112" t="s">
        <v>876</v>
      </c>
      <c r="C347" s="456" t="s">
        <v>881</v>
      </c>
      <c r="D347" s="112" t="s">
        <v>745</v>
      </c>
    </row>
    <row r="348" spans="1:4" ht="12.75">
      <c r="A348" s="112" t="str">
        <f t="shared" si="11"/>
        <v>das entspricht etwa </v>
      </c>
      <c r="B348" s="112" t="s">
        <v>875</v>
      </c>
      <c r="C348" s="456" t="s">
        <v>758</v>
      </c>
      <c r="D348" s="112" t="s">
        <v>663</v>
      </c>
    </row>
    <row r="349" spans="1:4" ht="12.75">
      <c r="A349" s="112" t="str">
        <f t="shared" si="11"/>
        <v>Sie erhalten die Beiträge </v>
      </c>
      <c r="B349" s="112" t="s">
        <v>877</v>
      </c>
      <c r="C349" s="456" t="s">
        <v>759</v>
      </c>
      <c r="D349" s="112" t="s">
        <v>664</v>
      </c>
    </row>
    <row r="350" spans="1:4" ht="12.75">
      <c r="A350" s="112" t="str">
        <f t="shared" si="11"/>
        <v>teilweise</v>
      </c>
      <c r="B350" s="112" t="s">
        <v>746</v>
      </c>
      <c r="C350" s="456" t="s">
        <v>864</v>
      </c>
      <c r="D350" s="112" t="s">
        <v>747</v>
      </c>
    </row>
    <row r="351" spans="1:4" ht="12.75">
      <c r="A351" s="112" t="str">
        <f t="shared" si="11"/>
        <v>vollständig</v>
      </c>
      <c r="B351" s="112" t="s">
        <v>748</v>
      </c>
      <c r="C351" s="456" t="s">
        <v>865</v>
      </c>
      <c r="D351" s="112" t="s">
        <v>749</v>
      </c>
    </row>
    <row r="352" spans="1:4" ht="12.75">
      <c r="A352" s="112" t="str">
        <f t="shared" si="11"/>
        <v>nein</v>
      </c>
      <c r="B352" s="527" t="s">
        <v>1030</v>
      </c>
      <c r="C352" s="456" t="s">
        <v>1031</v>
      </c>
      <c r="D352" s="543" t="s">
        <v>359</v>
      </c>
    </row>
    <row r="353" spans="1:4" ht="12.75">
      <c r="A353" s="112" t="str">
        <f t="shared" si="11"/>
        <v>ja</v>
      </c>
      <c r="B353" s="112" t="s">
        <v>1028</v>
      </c>
      <c r="C353" s="456" t="s">
        <v>1029</v>
      </c>
      <c r="D353" s="112" t="s">
        <v>874</v>
      </c>
    </row>
    <row r="354" spans="1:4" ht="12.75">
      <c r="A354" s="112" t="str">
        <f t="shared" si="11"/>
        <v>Ihre Beiträge können nicht berechnet werden</v>
      </c>
      <c r="B354" s="112" t="s">
        <v>880</v>
      </c>
      <c r="C354" s="456" t="s">
        <v>760</v>
      </c>
      <c r="D354" s="112" t="s">
        <v>665</v>
      </c>
    </row>
    <row r="355" spans="1:4" ht="12.75">
      <c r="A355" s="112" t="str">
        <f t="shared" si="11"/>
        <v>Bitte tragen Sie die Anzahl RGVE Ihres Betriebes ein</v>
      </c>
      <c r="B355" s="112" t="s">
        <v>879</v>
      </c>
      <c r="C355" s="456" t="s">
        <v>761</v>
      </c>
      <c r="D355" s="112" t="s">
        <v>666</v>
      </c>
    </row>
    <row r="356" spans="1:4" ht="12.75">
      <c r="A356" s="112" t="str">
        <f t="shared" si="11"/>
        <v>Sie erhalten KEINE Beiträge</v>
      </c>
      <c r="B356" s="112" t="s">
        <v>878</v>
      </c>
      <c r="C356" s="456" t="s">
        <v>762</v>
      </c>
      <c r="D356" s="112" t="s">
        <v>667</v>
      </c>
    </row>
    <row r="357" spans="1:4" ht="14.25">
      <c r="A357" s="112" t="str">
        <f>IF($A$2=1,B357,IF($A$2=2,C357,IF($A$2=3,D357,"")))</f>
        <v>Erfüllung der Anteile (Gras, Kraftfutter) der Ration</v>
      </c>
      <c r="B357" s="112" t="s">
        <v>752</v>
      </c>
      <c r="C357" s="531" t="s">
        <v>753</v>
      </c>
      <c r="D357" s="542" t="s">
        <v>754</v>
      </c>
    </row>
    <row r="359" ht="12.75">
      <c r="A359" s="111" t="s">
        <v>859</v>
      </c>
    </row>
    <row r="360" spans="1:3" ht="12.75">
      <c r="A360" s="112" t="str">
        <f aca="true" t="shared" si="12" ref="A360:A396">IF($A$2=1,B360,IF($A$2=2,C360,IF($A$2=3,D360,"")))</f>
        <v>Anpassung des eigenen Produktionssytems</v>
      </c>
      <c r="B360" s="7" t="s">
        <v>766</v>
      </c>
      <c r="C360" s="7" t="s">
        <v>767</v>
      </c>
    </row>
    <row r="361" spans="1:3" ht="12.75">
      <c r="A361" s="112" t="str">
        <f t="shared" si="12"/>
        <v>im Hinblick auf GMF</v>
      </c>
      <c r="B361" s="7" t="s">
        <v>768</v>
      </c>
      <c r="C361" s="7" t="s">
        <v>769</v>
      </c>
    </row>
    <row r="362" spans="1:3" ht="12.75">
      <c r="A362" s="112" t="str">
        <f t="shared" si="12"/>
        <v>Achtung: Die Berechnung basiert auf den Angaben des Bilanzblattes</v>
      </c>
      <c r="B362" s="7" t="s">
        <v>770</v>
      </c>
      <c r="C362" s="7" t="s">
        <v>771</v>
      </c>
    </row>
    <row r="363" spans="1:3" ht="12.75">
      <c r="A363" s="112" t="str">
        <f t="shared" si="12"/>
        <v>Erklärungen</v>
      </c>
      <c r="B363" s="7" t="s">
        <v>772</v>
      </c>
      <c r="C363" s="7" t="s">
        <v>773</v>
      </c>
    </row>
    <row r="364" spans="1:3" ht="12.75">
      <c r="A364" s="112" t="str">
        <f t="shared" si="12"/>
        <v>Falls die Bedingung der Kraftfutterrestriktion nicht erfüllt ist, stellt sich die Frage einer Verringerung des Kraftfuttereinsatzes</v>
      </c>
      <c r="B364" s="7" t="s">
        <v>774</v>
      </c>
      <c r="C364" s="7" t="s">
        <v>775</v>
      </c>
    </row>
    <row r="365" spans="1:3" ht="12.75">
      <c r="A365" s="112" t="str">
        <f t="shared" si="12"/>
        <v>Dieses Blatt zeigt die finanziellen Auswirkungen bei einer eventuellen Anpassung des Produktionssystems</v>
      </c>
      <c r="B365" s="7" t="s">
        <v>776</v>
      </c>
      <c r="C365" s="7" t="s">
        <v>777</v>
      </c>
    </row>
    <row r="366" spans="1:3" ht="12.75">
      <c r="A366" s="112" t="str">
        <f t="shared" si="12"/>
        <v>Prüfen Sie auf dem Bilanz-Blatt, ob ihre Anpassung (Teil A) die Erfüllung der Bedingungen</v>
      </c>
      <c r="B366" s="7" t="s">
        <v>778</v>
      </c>
      <c r="C366" s="7" t="s">
        <v>779</v>
      </c>
    </row>
    <row r="367" spans="1:3" ht="12.75">
      <c r="A367" s="112" t="str">
        <f t="shared" si="12"/>
        <v>von maximal 10% Kraftfutter (Teil D) bewirkt.</v>
      </c>
      <c r="B367" s="7" t="s">
        <v>780</v>
      </c>
      <c r="C367" s="7" t="s">
        <v>781</v>
      </c>
    </row>
    <row r="368" spans="1:3" ht="12.75">
      <c r="A368" s="112" t="str">
        <f t="shared" si="12"/>
        <v>Milchproduktion</v>
      </c>
      <c r="B368" s="7" t="s">
        <v>782</v>
      </c>
      <c r="C368" s="7" t="s">
        <v>783</v>
      </c>
    </row>
    <row r="369" spans="1:3" ht="12.75">
      <c r="A369" s="112" t="str">
        <f t="shared" si="12"/>
        <v>Mittlerer Herdendurchschnitt</v>
      </c>
      <c r="B369" s="7" t="s">
        <v>784</v>
      </c>
      <c r="C369" s="7" t="s">
        <v>785</v>
      </c>
    </row>
    <row r="370" spans="1:3" ht="12.75">
      <c r="A370" s="112" t="str">
        <f t="shared" si="12"/>
        <v>Angestrebte Milchleistung nach Anpassung</v>
      </c>
      <c r="B370" s="7" t="s">
        <v>786</v>
      </c>
      <c r="C370" s="7" t="s">
        <v>787</v>
      </c>
    </row>
    <row r="371" spans="1:3" ht="12.75">
      <c r="A371" s="112" t="str">
        <f t="shared" si="12"/>
        <v>Anzahl Kühe</v>
      </c>
      <c r="B371" s="7" t="s">
        <v>788</v>
      </c>
      <c r="C371" s="7" t="s">
        <v>789</v>
      </c>
    </row>
    <row r="372" spans="1:3" ht="12.75">
      <c r="A372" s="112" t="str">
        <f t="shared" si="12"/>
        <v>Auswirkungen auf die Mengen</v>
      </c>
      <c r="B372" s="7" t="s">
        <v>790</v>
      </c>
      <c r="C372" s="7" t="s">
        <v>791</v>
      </c>
    </row>
    <row r="373" spans="1:3" ht="12.75">
      <c r="A373" s="112" t="str">
        <f t="shared" si="12"/>
        <v>Verringerung der Milchproduktion total</v>
      </c>
      <c r="B373" s="7" t="s">
        <v>792</v>
      </c>
      <c r="C373" s="7" t="s">
        <v>793</v>
      </c>
    </row>
    <row r="374" spans="1:3" ht="12.75">
      <c r="A374" s="112" t="str">
        <f t="shared" si="12"/>
        <v>Reduktion des Kraftfuttereinsatzes pro Kuh</v>
      </c>
      <c r="B374" s="7" t="s">
        <v>794</v>
      </c>
      <c r="C374" s="7" t="s">
        <v>795</v>
      </c>
    </row>
    <row r="375" spans="1:3" ht="12.75">
      <c r="A375" s="112" t="str">
        <f t="shared" si="12"/>
        <v>Auswirkungen auf die Wirtschaftlichkeit</v>
      </c>
      <c r="B375" s="7" t="s">
        <v>796</v>
      </c>
      <c r="C375" s="7" t="s">
        <v>797</v>
      </c>
    </row>
    <row r="376" spans="1:3" ht="12.75">
      <c r="A376" s="112" t="str">
        <f t="shared" si="12"/>
        <v>Mindereinnahmen Milch</v>
      </c>
      <c r="B376" s="7" t="s">
        <v>798</v>
      </c>
      <c r="C376" s="7" t="s">
        <v>799</v>
      </c>
    </row>
    <row r="377" spans="1:3" ht="12.75">
      <c r="A377" s="112" t="str">
        <f t="shared" si="12"/>
        <v>Einsparung Kraftfutterkosten</v>
      </c>
      <c r="B377" s="7" t="s">
        <v>800</v>
      </c>
      <c r="C377" s="7" t="s">
        <v>801</v>
      </c>
    </row>
    <row r="378" spans="1:3" ht="12.75">
      <c r="A378" s="112" t="str">
        <f t="shared" si="12"/>
        <v>Beiträge GMF</v>
      </c>
      <c r="B378" s="7" t="s">
        <v>802</v>
      </c>
      <c r="C378" s="7" t="s">
        <v>803</v>
      </c>
    </row>
    <row r="379" spans="1:3" ht="12.75">
      <c r="A379" s="112" t="str">
        <f t="shared" si="12"/>
        <v>Bilanz</v>
      </c>
      <c r="B379" s="7" t="s">
        <v>1096</v>
      </c>
      <c r="C379" s="7" t="s">
        <v>804</v>
      </c>
    </row>
    <row r="380" spans="1:3" ht="12.75">
      <c r="A380" s="112" t="str">
        <f t="shared" si="12"/>
        <v>kg Milch/Kuh</v>
      </c>
      <c r="B380" s="7" t="s">
        <v>805</v>
      </c>
      <c r="C380" s="7" t="s">
        <v>806</v>
      </c>
    </row>
    <row r="381" spans="1:3" ht="12.75">
      <c r="A381" s="112" t="str">
        <f t="shared" si="12"/>
        <v>Kühe</v>
      </c>
      <c r="B381" s="7" t="s">
        <v>807</v>
      </c>
      <c r="C381" s="7" t="s">
        <v>808</v>
      </c>
    </row>
    <row r="382" spans="1:3" ht="12.75">
      <c r="A382" s="112" t="str">
        <f t="shared" si="12"/>
        <v>kg Milch</v>
      </c>
      <c r="B382" s="7" t="s">
        <v>809</v>
      </c>
      <c r="C382" s="7" t="s">
        <v>810</v>
      </c>
    </row>
    <row r="383" spans="1:3" ht="12.75">
      <c r="A383" s="112" t="str">
        <f t="shared" si="12"/>
        <v>kg KF/Kuh</v>
      </c>
      <c r="B383" s="7" t="s">
        <v>811</v>
      </c>
      <c r="C383" s="7" t="s">
        <v>812</v>
      </c>
    </row>
    <row r="384" spans="1:3" ht="12.75">
      <c r="A384" s="112" t="str">
        <f t="shared" si="12"/>
        <v>Fr.</v>
      </c>
      <c r="B384" s="7" t="s">
        <v>813</v>
      </c>
      <c r="C384" s="7" t="s">
        <v>814</v>
      </c>
    </row>
    <row r="385" spans="1:3" ht="12.75">
      <c r="A385" s="112" t="str">
        <f t="shared" si="12"/>
        <v>Rp/kg</v>
      </c>
      <c r="B385" s="7" t="s">
        <v>815</v>
      </c>
      <c r="C385" s="7" t="s">
        <v>816</v>
      </c>
    </row>
    <row r="386" spans="1:3" ht="12.75">
      <c r="A386" s="112" t="str">
        <f t="shared" si="12"/>
        <v>Fr./dt</v>
      </c>
      <c r="B386" s="7" t="s">
        <v>817</v>
      </c>
      <c r="C386" s="7" t="s">
        <v>818</v>
      </c>
    </row>
    <row r="387" spans="1:3" ht="12.75">
      <c r="A387" s="112" t="str">
        <f t="shared" si="12"/>
        <v>Fr./ha</v>
      </c>
      <c r="B387" s="7" t="s">
        <v>819</v>
      </c>
      <c r="C387" s="7" t="s">
        <v>820</v>
      </c>
    </row>
    <row r="388" spans="1:3" ht="12.75">
      <c r="A388" s="112" t="str">
        <f t="shared" si="12"/>
        <v>siehe Erklärung*</v>
      </c>
      <c r="B388" s="7" t="s">
        <v>821</v>
      </c>
      <c r="C388" s="7" t="s">
        <v>822</v>
      </c>
    </row>
    <row r="389" spans="1:3" ht="12.75">
      <c r="A389" s="112" t="str">
        <f t="shared" si="12"/>
        <v>Preis</v>
      </c>
      <c r="B389" s="552" t="s">
        <v>823</v>
      </c>
      <c r="C389" s="552" t="s">
        <v>824</v>
      </c>
    </row>
    <row r="390" spans="1:3" ht="12.75">
      <c r="A390" s="112" t="str">
        <f t="shared" si="12"/>
        <v>Kraftfutterreduktion</v>
      </c>
      <c r="B390" s="7" t="s">
        <v>825</v>
      </c>
      <c r="C390" s="7" t="s">
        <v>826</v>
      </c>
    </row>
    <row r="391" spans="1:3" ht="12.75">
      <c r="A391" s="112" t="str">
        <f t="shared" si="12"/>
        <v>Reduzierte Milchleistung dividiert durch das MPP des KF ergibt eingesparte Kraftfuttermenge</v>
      </c>
      <c r="B391" s="7" t="s">
        <v>827</v>
      </c>
      <c r="C391" s="7" t="s">
        <v>828</v>
      </c>
    </row>
    <row r="392" spans="1:3" ht="12.75">
      <c r="A392" s="112" t="str">
        <f t="shared" si="12"/>
        <v>Annahme Milchleistungspotential = 2 kg Milch pro kg Kraftfutter*</v>
      </c>
      <c r="B392" s="7" t="s">
        <v>829</v>
      </c>
      <c r="C392" s="7" t="s">
        <v>830</v>
      </c>
    </row>
    <row r="393" spans="1:3" ht="12.75">
      <c r="A393" s="112" t="str">
        <f t="shared" si="12"/>
        <v>Beispiel:</v>
      </c>
      <c r="B393" s="7" t="s">
        <v>831</v>
      </c>
      <c r="C393" s="7" t="s">
        <v>832</v>
      </c>
    </row>
    <row r="394" spans="1:3" ht="12.75">
      <c r="A394" s="112" t="str">
        <f t="shared" si="12"/>
        <v>500 kg Milchleistungsreduktion / 2 (MPP KF) = 250 kg Kraftfuttereinsparung</v>
      </c>
      <c r="B394" s="7" t="s">
        <v>833</v>
      </c>
      <c r="C394" s="7" t="s">
        <v>834</v>
      </c>
    </row>
    <row r="395" spans="1:3" ht="12.75">
      <c r="A395" s="112" t="str">
        <f t="shared" si="12"/>
        <v>*Hinweis: die tatsächliche Milchleistungsänderung pro kg Kraftfuttereinsatz oder -einsparung</v>
      </c>
      <c r="B395" s="7" t="s">
        <v>835</v>
      </c>
      <c r="C395" s="7" t="s">
        <v>836</v>
      </c>
    </row>
    <row r="396" spans="1:3" ht="12.75">
      <c r="A396" s="112" t="str">
        <f t="shared" si="12"/>
        <v>kann je nach Rationszusammensetzung variieren zwischen ca. 1 und 3</v>
      </c>
      <c r="B396" s="7" t="s">
        <v>837</v>
      </c>
      <c r="C396" s="7" t="s">
        <v>838</v>
      </c>
    </row>
  </sheetData>
  <sheetProtection/>
  <conditionalFormatting sqref="D340">
    <cfRule type="expression" priority="1" dxfId="0" stopIfTrue="1">
      <formula>ISBLANK(D340)</formula>
    </cfRule>
    <cfRule type="cellIs" priority="2" dxfId="0" operator="equal" stopIfTrue="1">
      <formula>$C340</formula>
    </cfRule>
  </conditionalFormatting>
  <printOptions heading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 Nachweis Version 8.8&amp;R&amp;"Arial,Standard"&amp;9Seite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C15" sqref="C15:I15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471" t="s">
        <v>297</v>
      </c>
    </row>
    <row r="2" spans="1:7" ht="12.75">
      <c r="A2" s="471" t="s">
        <v>313</v>
      </c>
      <c r="B2" s="471" t="s">
        <v>298</v>
      </c>
      <c r="C2" s="471" t="s">
        <v>299</v>
      </c>
      <c r="D2" s="471" t="s">
        <v>300</v>
      </c>
      <c r="E2" s="471" t="s">
        <v>301</v>
      </c>
      <c r="F2" s="471" t="s">
        <v>312</v>
      </c>
      <c r="G2" s="471" t="s">
        <v>314</v>
      </c>
    </row>
    <row r="3" spans="1:7" ht="12.75">
      <c r="A3" t="s">
        <v>295</v>
      </c>
      <c r="B3" t="s">
        <v>1096</v>
      </c>
      <c r="C3" t="s">
        <v>302</v>
      </c>
      <c r="D3" t="s">
        <v>303</v>
      </c>
      <c r="E3" s="470">
        <v>41386</v>
      </c>
      <c r="F3" t="s">
        <v>311</v>
      </c>
      <c r="G3" t="s">
        <v>315</v>
      </c>
    </row>
    <row r="4" spans="1:7" ht="12.75">
      <c r="A4" t="s">
        <v>295</v>
      </c>
      <c r="B4" t="s">
        <v>1096</v>
      </c>
      <c r="C4" t="s">
        <v>308</v>
      </c>
      <c r="D4" t="s">
        <v>310</v>
      </c>
      <c r="E4" s="470">
        <v>41386</v>
      </c>
      <c r="F4" t="s">
        <v>311</v>
      </c>
      <c r="G4" t="s">
        <v>315</v>
      </c>
    </row>
    <row r="5" spans="1:7" ht="12.75">
      <c r="A5" t="s">
        <v>295</v>
      </c>
      <c r="B5" t="s">
        <v>1096</v>
      </c>
      <c r="C5" t="s">
        <v>309</v>
      </c>
      <c r="D5" t="s">
        <v>304</v>
      </c>
      <c r="E5" s="470">
        <v>41386</v>
      </c>
      <c r="F5" t="s">
        <v>311</v>
      </c>
      <c r="G5" t="s">
        <v>315</v>
      </c>
    </row>
    <row r="6" spans="1:7" ht="12.75">
      <c r="A6" t="s">
        <v>295</v>
      </c>
      <c r="B6" t="s">
        <v>307</v>
      </c>
      <c r="C6" t="s">
        <v>305</v>
      </c>
      <c r="D6" t="s">
        <v>306</v>
      </c>
      <c r="E6" s="470">
        <v>41386</v>
      </c>
      <c r="F6" t="s">
        <v>311</v>
      </c>
      <c r="G6" t="s">
        <v>315</v>
      </c>
    </row>
    <row r="7" spans="1:7" ht="12.75">
      <c r="A7" t="s">
        <v>315</v>
      </c>
      <c r="B7" t="s">
        <v>548</v>
      </c>
      <c r="C7" t="s">
        <v>549</v>
      </c>
      <c r="D7" t="s">
        <v>550</v>
      </c>
      <c r="E7" s="470">
        <v>41387</v>
      </c>
      <c r="F7" t="s">
        <v>311</v>
      </c>
      <c r="G7" t="s">
        <v>315</v>
      </c>
    </row>
    <row r="8" spans="1:7" ht="12.75">
      <c r="A8" t="s">
        <v>315</v>
      </c>
      <c r="B8" t="s">
        <v>307</v>
      </c>
      <c r="D8" t="s">
        <v>551</v>
      </c>
      <c r="E8" s="470">
        <v>41387</v>
      </c>
      <c r="F8" t="s">
        <v>311</v>
      </c>
      <c r="G8" t="s">
        <v>315</v>
      </c>
    </row>
    <row r="9" spans="1:7" ht="63.75">
      <c r="A9" t="s">
        <v>573</v>
      </c>
      <c r="B9" t="s">
        <v>1096</v>
      </c>
      <c r="C9" t="s">
        <v>574</v>
      </c>
      <c r="D9" s="478" t="s">
        <v>575</v>
      </c>
      <c r="E9" s="470">
        <v>41478</v>
      </c>
      <c r="F9" t="s">
        <v>311</v>
      </c>
      <c r="G9" t="s">
        <v>573</v>
      </c>
    </row>
    <row r="10" spans="1:7" ht="12.75">
      <c r="A10" t="s">
        <v>576</v>
      </c>
      <c r="B10" t="s">
        <v>1096</v>
      </c>
      <c r="C10" t="s">
        <v>577</v>
      </c>
      <c r="D10" t="s">
        <v>578</v>
      </c>
      <c r="E10" s="470">
        <v>41512</v>
      </c>
      <c r="F10" t="s">
        <v>311</v>
      </c>
      <c r="G10" t="s">
        <v>576</v>
      </c>
    </row>
    <row r="11" spans="1:7" ht="12.75">
      <c r="A11" t="s">
        <v>622</v>
      </c>
      <c r="B11" t="s">
        <v>1096</v>
      </c>
      <c r="C11" t="s">
        <v>623</v>
      </c>
      <c r="D11" t="s">
        <v>624</v>
      </c>
      <c r="E11" s="470">
        <v>41535</v>
      </c>
      <c r="F11" t="s">
        <v>311</v>
      </c>
      <c r="G11" t="s">
        <v>627</v>
      </c>
    </row>
    <row r="12" spans="1:7" ht="12.75">
      <c r="A12" t="s">
        <v>627</v>
      </c>
      <c r="B12" t="s">
        <v>914</v>
      </c>
      <c r="D12" t="s">
        <v>916</v>
      </c>
      <c r="E12" s="470">
        <v>41568</v>
      </c>
      <c r="F12" t="s">
        <v>311</v>
      </c>
      <c r="G12" s="516" t="s">
        <v>915</v>
      </c>
    </row>
    <row r="13" spans="1:7" ht="12.75">
      <c r="A13" t="s">
        <v>652</v>
      </c>
      <c r="B13" t="s">
        <v>653</v>
      </c>
      <c r="C13" t="s">
        <v>654</v>
      </c>
      <c r="E13" s="470">
        <v>41570</v>
      </c>
      <c r="F13" t="s">
        <v>311</v>
      </c>
      <c r="G13" s="516" t="s">
        <v>915</v>
      </c>
    </row>
    <row r="14" spans="1:7" ht="12.75">
      <c r="A14" t="s">
        <v>840</v>
      </c>
      <c r="B14" t="s">
        <v>1096</v>
      </c>
      <c r="C14" t="s">
        <v>855</v>
      </c>
      <c r="D14" t="s">
        <v>856</v>
      </c>
      <c r="E14" s="470">
        <v>41618</v>
      </c>
      <c r="F14" t="s">
        <v>311</v>
      </c>
      <c r="G14" s="553">
        <v>1.1</v>
      </c>
    </row>
    <row r="15" spans="1:7" ht="12.75">
      <c r="A15" t="s">
        <v>840</v>
      </c>
      <c r="B15" t="s">
        <v>1096</v>
      </c>
      <c r="D15" t="s">
        <v>841</v>
      </c>
      <c r="E15" s="470">
        <v>41618</v>
      </c>
      <c r="F15" t="s">
        <v>311</v>
      </c>
      <c r="G15" s="553">
        <v>1.1</v>
      </c>
    </row>
    <row r="16" spans="1:7" ht="12.75">
      <c r="A16" t="s">
        <v>840</v>
      </c>
      <c r="B16" t="s">
        <v>1096</v>
      </c>
      <c r="D16" t="s">
        <v>842</v>
      </c>
      <c r="E16" s="470">
        <v>41618</v>
      </c>
      <c r="F16" t="s">
        <v>311</v>
      </c>
      <c r="G16" s="553">
        <v>1.1</v>
      </c>
    </row>
    <row r="17" spans="1:7" ht="12.75">
      <c r="A17" t="s">
        <v>840</v>
      </c>
      <c r="B17" t="s">
        <v>1096</v>
      </c>
      <c r="C17" t="s">
        <v>846</v>
      </c>
      <c r="D17" t="s">
        <v>850</v>
      </c>
      <c r="E17" s="470">
        <v>41618</v>
      </c>
      <c r="F17" t="s">
        <v>311</v>
      </c>
      <c r="G17" s="553">
        <v>1.1</v>
      </c>
    </row>
    <row r="18" spans="1:7" ht="12.75">
      <c r="A18" t="s">
        <v>839</v>
      </c>
      <c r="B18" t="s">
        <v>307</v>
      </c>
      <c r="C18" t="s">
        <v>843</v>
      </c>
      <c r="E18" s="470">
        <v>41619</v>
      </c>
      <c r="F18" t="s">
        <v>311</v>
      </c>
      <c r="G18" s="553">
        <v>1.1</v>
      </c>
    </row>
    <row r="19" spans="1:7" ht="12.75">
      <c r="A19" t="s">
        <v>844</v>
      </c>
      <c r="B19" t="s">
        <v>1096</v>
      </c>
      <c r="C19" t="s">
        <v>845</v>
      </c>
      <c r="E19" s="470">
        <v>41621</v>
      </c>
      <c r="F19" t="s">
        <v>311</v>
      </c>
      <c r="G19" s="553">
        <v>1.1</v>
      </c>
    </row>
    <row r="20" spans="1:7" ht="12.75">
      <c r="A20" t="s">
        <v>851</v>
      </c>
      <c r="B20" t="s">
        <v>857</v>
      </c>
      <c r="D20" t="s">
        <v>858</v>
      </c>
      <c r="E20" s="470">
        <v>41621</v>
      </c>
      <c r="F20" t="s">
        <v>311</v>
      </c>
      <c r="G20" s="553">
        <v>1.1</v>
      </c>
    </row>
    <row r="21" spans="1:7" ht="12.75">
      <c r="A21" t="s">
        <v>851</v>
      </c>
      <c r="B21" t="s">
        <v>1096</v>
      </c>
      <c r="C21" t="s">
        <v>861</v>
      </c>
      <c r="E21" s="470">
        <v>41621</v>
      </c>
      <c r="F21" t="s">
        <v>311</v>
      </c>
      <c r="G21" s="553">
        <v>1.1</v>
      </c>
    </row>
    <row r="22" spans="1:7" ht="12.75">
      <c r="A22" t="s">
        <v>669</v>
      </c>
      <c r="B22" t="s">
        <v>1096</v>
      </c>
      <c r="D22" t="s">
        <v>551</v>
      </c>
      <c r="E22" s="470">
        <v>41621</v>
      </c>
      <c r="F22" t="s">
        <v>311</v>
      </c>
      <c r="G22" s="553">
        <v>1.1</v>
      </c>
    </row>
    <row r="23" spans="1:7" ht="12.75">
      <c r="A23" t="s">
        <v>669</v>
      </c>
      <c r="B23" t="s">
        <v>1096</v>
      </c>
      <c r="C23" t="s">
        <v>541</v>
      </c>
      <c r="D23" t="s">
        <v>542</v>
      </c>
      <c r="E23" s="470">
        <v>41621</v>
      </c>
      <c r="F23" t="s">
        <v>311</v>
      </c>
      <c r="G23" s="553">
        <v>1.1</v>
      </c>
    </row>
    <row r="24" spans="1:7" ht="12.75">
      <c r="A24" t="s">
        <v>669</v>
      </c>
      <c r="B24" t="s">
        <v>1096</v>
      </c>
      <c r="C24" t="s">
        <v>543</v>
      </c>
      <c r="E24" s="470">
        <v>41621</v>
      </c>
      <c r="F24" t="s">
        <v>311</v>
      </c>
      <c r="G24" s="553">
        <v>1.1</v>
      </c>
    </row>
    <row r="25" spans="1:7" ht="12.75">
      <c r="A25" t="s">
        <v>393</v>
      </c>
      <c r="B25" t="s">
        <v>1096</v>
      </c>
      <c r="C25" t="s">
        <v>394</v>
      </c>
      <c r="D25" t="s">
        <v>395</v>
      </c>
      <c r="E25" s="470">
        <v>41627</v>
      </c>
      <c r="F25" t="s">
        <v>311</v>
      </c>
      <c r="G25" s="553">
        <v>1.1</v>
      </c>
    </row>
    <row r="26" spans="1:8" ht="12.75">
      <c r="A26" t="s">
        <v>238</v>
      </c>
      <c r="B26" t="s">
        <v>1096</v>
      </c>
      <c r="C26" t="s">
        <v>242</v>
      </c>
      <c r="E26" s="470">
        <v>41656</v>
      </c>
      <c r="F26" t="s">
        <v>311</v>
      </c>
      <c r="G26" s="553">
        <v>1.1</v>
      </c>
      <c r="H26" t="s">
        <v>1019</v>
      </c>
    </row>
    <row r="27" spans="1:7" ht="12.75">
      <c r="A27" t="s">
        <v>1016</v>
      </c>
      <c r="B27" t="s">
        <v>1096</v>
      </c>
      <c r="C27" t="s">
        <v>1017</v>
      </c>
      <c r="F27" t="s">
        <v>311</v>
      </c>
      <c r="G27" t="s">
        <v>1022</v>
      </c>
    </row>
    <row r="28" spans="1:7" ht="76.5">
      <c r="A28" t="s">
        <v>1018</v>
      </c>
      <c r="B28" t="s">
        <v>1096</v>
      </c>
      <c r="C28" t="s">
        <v>1020</v>
      </c>
      <c r="D28" s="478" t="s">
        <v>1021</v>
      </c>
      <c r="E28" s="470">
        <v>41723</v>
      </c>
      <c r="F28" t="s">
        <v>311</v>
      </c>
      <c r="G28" s="553">
        <v>1.2</v>
      </c>
    </row>
    <row r="29" spans="1:7" ht="89.25">
      <c r="A29" t="s">
        <v>690</v>
      </c>
      <c r="B29" t="s">
        <v>1096</v>
      </c>
      <c r="D29" s="478" t="s">
        <v>253</v>
      </c>
      <c r="E29" s="470">
        <v>41723</v>
      </c>
      <c r="F29" t="s">
        <v>311</v>
      </c>
      <c r="G29" s="553">
        <v>1.2</v>
      </c>
    </row>
    <row r="30" spans="2:7" ht="12.75">
      <c r="B30" t="s">
        <v>709</v>
      </c>
      <c r="C30" t="s">
        <v>710</v>
      </c>
      <c r="E30" s="470">
        <v>41723</v>
      </c>
      <c r="F30" t="s">
        <v>311</v>
      </c>
      <c r="G30" s="553">
        <v>1.2</v>
      </c>
    </row>
    <row r="31" spans="1:7" ht="12.75">
      <c r="A31" t="s">
        <v>694</v>
      </c>
      <c r="B31" t="s">
        <v>709</v>
      </c>
      <c r="C31" t="s">
        <v>695</v>
      </c>
      <c r="E31" s="470">
        <v>41731</v>
      </c>
      <c r="F31" t="s">
        <v>311</v>
      </c>
      <c r="G31" s="553">
        <v>1.2</v>
      </c>
    </row>
    <row r="32" spans="2:7" ht="12.75">
      <c r="B32" t="s">
        <v>1096</v>
      </c>
      <c r="C32" s="553" t="s">
        <v>696</v>
      </c>
      <c r="D32" t="s">
        <v>697</v>
      </c>
      <c r="E32" s="470">
        <v>41731</v>
      </c>
      <c r="F32" t="s">
        <v>311</v>
      </c>
      <c r="G32" s="553">
        <v>1.2</v>
      </c>
    </row>
    <row r="33" spans="1:7" ht="12.75">
      <c r="A33" t="s">
        <v>698</v>
      </c>
      <c r="B33" t="s">
        <v>709</v>
      </c>
      <c r="C33" t="s">
        <v>699</v>
      </c>
      <c r="E33" s="470">
        <v>41731</v>
      </c>
      <c r="F33" t="s">
        <v>311</v>
      </c>
      <c r="G33" s="553">
        <v>1.2</v>
      </c>
    </row>
    <row r="34" spans="2:7" ht="12.75">
      <c r="B34" t="s">
        <v>1096</v>
      </c>
      <c r="C34" t="s">
        <v>700</v>
      </c>
      <c r="E34" s="470">
        <v>41731</v>
      </c>
      <c r="F34" t="s">
        <v>311</v>
      </c>
      <c r="G34" s="553">
        <v>1.2</v>
      </c>
    </row>
    <row r="35" spans="1:7" ht="12.75">
      <c r="A35" t="s">
        <v>469</v>
      </c>
      <c r="C35" t="s">
        <v>843</v>
      </c>
      <c r="E35" s="470">
        <v>41733</v>
      </c>
      <c r="F35" t="s">
        <v>311</v>
      </c>
      <c r="G35" s="553">
        <v>1.2</v>
      </c>
    </row>
    <row r="36" spans="1:7" ht="12.75">
      <c r="A36" t="s">
        <v>1045</v>
      </c>
      <c r="B36" t="s">
        <v>1096</v>
      </c>
      <c r="C36" t="s">
        <v>1046</v>
      </c>
      <c r="E36" s="470">
        <v>41946</v>
      </c>
      <c r="F36" t="s">
        <v>311</v>
      </c>
      <c r="G36" s="553">
        <v>1.3</v>
      </c>
    </row>
    <row r="37" spans="1:7" ht="12.75">
      <c r="A37" t="s">
        <v>600</v>
      </c>
      <c r="B37" t="s">
        <v>1096</v>
      </c>
      <c r="C37" t="s">
        <v>602</v>
      </c>
      <c r="E37" s="470">
        <v>42011</v>
      </c>
      <c r="F37" t="s">
        <v>311</v>
      </c>
      <c r="G37" s="553">
        <v>1.3</v>
      </c>
    </row>
    <row r="38" spans="1:7" ht="12.75">
      <c r="A38" t="s">
        <v>600</v>
      </c>
      <c r="B38" t="s">
        <v>709</v>
      </c>
      <c r="C38" t="s">
        <v>601</v>
      </c>
      <c r="E38" s="470">
        <v>42011</v>
      </c>
      <c r="F38" t="s">
        <v>311</v>
      </c>
      <c r="G38" s="553">
        <v>1.3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Wagner</dc:creator>
  <cp:keywords/>
  <dc:description/>
  <cp:lastModifiedBy>Ofner Matthias BLW</cp:lastModifiedBy>
  <cp:lastPrinted>2014-11-03T15:56:46Z</cp:lastPrinted>
  <dcterms:created xsi:type="dcterms:W3CDTF">2012-10-26T08:14:52Z</dcterms:created>
  <dcterms:modified xsi:type="dcterms:W3CDTF">2015-02-03T09:03:06Z</dcterms:modified>
  <cp:category/>
  <cp:version/>
  <cp:contentType/>
  <cp:contentStatus/>
</cp:coreProperties>
</file>