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always" codeName="DieseArbeitsmappe"/>
  <mc:AlternateContent xmlns:mc="http://schemas.openxmlformats.org/markup-compatibility/2006">
    <mc:Choice Requires="x15">
      <x15ac:absPath xmlns:x15ac="http://schemas.microsoft.com/office/spreadsheetml/2010/11/ac" url="\\adb.intra.admin.ch\userhome$\BLW-01\U80798514\config\Desktop\"/>
    </mc:Choice>
  </mc:AlternateContent>
  <xr:revisionPtr revIDLastSave="0" documentId="8_{84CC1C76-3D4B-4EF6-ABE4-9634BC58332B}" xr6:coauthVersionLast="47" xr6:coauthVersionMax="47" xr10:uidLastSave="{00000000-0000-0000-0000-000000000000}"/>
  <bookViews>
    <workbookView xWindow="1400" yWindow="1400" windowWidth="14400" windowHeight="7360" xr2:uid="{00000000-000D-0000-FFFF-FFFF00000000}"/>
  </bookViews>
  <sheets>
    <sheet name="Übersicht TP " sheetId="1" r:id="rId1"/>
    <sheet name="Erfolgsrechnung" sheetId="10" r:id="rId2"/>
    <sheet name="Finanzierung" sheetId="6" r:id="rId3"/>
    <sheet name="Cashflow Übersicht" sheetId="15" r:id="rId4"/>
    <sheet name="CME" sheetId="14" r:id="rId5"/>
    <sheet name="Beispiel Annahmen" sheetId="9" r:id="rId6"/>
    <sheet name="Dropdown input" sheetId="11" state="hidden" r:id="rId7"/>
  </sheets>
  <definedNames>
    <definedName name="_xlnm.Print_Area" localSheetId="5">'Beispiel Annahmen'!$A$1:$P$128</definedName>
    <definedName name="_xlnm.Print_Area" localSheetId="6">'Dropdown input'!$A$1:$S$59</definedName>
    <definedName name="_xlnm.Print_Area" localSheetId="1">Erfolgsrechnung!$A$1:$S$61</definedName>
    <definedName name="_xlnm.Print_Area" localSheetId="2">Finanzierung!$A$1:$O$172</definedName>
    <definedName name="_xlnm.Print_Area" localSheetId="0">'Übersicht TP '!$A$1:$AG$49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1" l="1"/>
  <c r="C44" i="1"/>
  <c r="D44" i="1" l="1"/>
  <c r="E44" i="1" s="1"/>
  <c r="N59" i="11" l="1"/>
  <c r="N58" i="11"/>
  <c r="N57" i="11"/>
  <c r="N56" i="11"/>
  <c r="N55" i="11"/>
  <c r="N54" i="11"/>
  <c r="N53" i="11"/>
  <c r="N52" i="11"/>
  <c r="N51" i="11"/>
  <c r="M59" i="11"/>
  <c r="M58" i="11"/>
  <c r="M57" i="11"/>
  <c r="M56" i="11"/>
  <c r="M55" i="11"/>
  <c r="M54" i="11"/>
  <c r="M53" i="11"/>
  <c r="M52" i="11"/>
  <c r="M51" i="11"/>
  <c r="K56" i="11"/>
  <c r="K55" i="11"/>
  <c r="K54" i="11"/>
  <c r="K53" i="11"/>
  <c r="K52" i="11"/>
  <c r="K51" i="11"/>
  <c r="J56" i="11"/>
  <c r="J55" i="11"/>
  <c r="J54" i="11"/>
  <c r="J53" i="11"/>
  <c r="J52" i="11"/>
  <c r="J51" i="11"/>
  <c r="H61" i="11"/>
  <c r="H60" i="11"/>
  <c r="H59" i="11"/>
  <c r="H58" i="11"/>
  <c r="H57" i="11"/>
  <c r="H56" i="11"/>
  <c r="H55" i="11"/>
  <c r="H54" i="11"/>
  <c r="H53" i="11"/>
  <c r="G61" i="11"/>
  <c r="G60" i="11"/>
  <c r="G59" i="11"/>
  <c r="G58" i="11"/>
  <c r="G57" i="11"/>
  <c r="G56" i="11"/>
  <c r="G55" i="11"/>
  <c r="G54" i="11"/>
  <c r="G53" i="11"/>
  <c r="E58" i="11"/>
  <c r="E57" i="11"/>
  <c r="E56" i="11"/>
  <c r="E55" i="11"/>
  <c r="E54" i="11"/>
  <c r="E53" i="11"/>
  <c r="D58" i="11"/>
  <c r="D57" i="11"/>
  <c r="D56" i="11"/>
  <c r="D55" i="11"/>
  <c r="D54" i="11"/>
  <c r="D53" i="11"/>
  <c r="H164" i="6" l="1"/>
  <c r="E164" i="6"/>
  <c r="G165" i="6"/>
  <c r="H165" i="6"/>
  <c r="I165" i="6"/>
  <c r="J165" i="6"/>
  <c r="K165" i="6"/>
  <c r="L165" i="6"/>
  <c r="F165" i="6"/>
  <c r="G164" i="6"/>
  <c r="I164" i="6"/>
  <c r="J164" i="6"/>
  <c r="K164" i="6"/>
  <c r="F164" i="6"/>
  <c r="G163" i="6"/>
  <c r="H163" i="6"/>
  <c r="I163" i="6"/>
  <c r="J163" i="6"/>
  <c r="K163" i="6"/>
  <c r="L163" i="6"/>
  <c r="F163" i="6"/>
  <c r="E163" i="6"/>
  <c r="G160" i="6"/>
  <c r="F160" i="6"/>
  <c r="G159" i="6"/>
  <c r="H159" i="6"/>
  <c r="I159" i="6"/>
  <c r="J159" i="6"/>
  <c r="K159" i="6"/>
  <c r="L159" i="6"/>
  <c r="F159" i="6"/>
  <c r="H158" i="6"/>
  <c r="G158" i="6"/>
  <c r="I158" i="6"/>
  <c r="J158" i="6"/>
  <c r="K158" i="6"/>
  <c r="L158" i="6"/>
  <c r="F158" i="6"/>
  <c r="G157" i="6"/>
  <c r="H157" i="6"/>
  <c r="I157" i="6"/>
  <c r="J157" i="6"/>
  <c r="K157" i="6"/>
  <c r="L157" i="6"/>
  <c r="F157" i="6"/>
  <c r="G156" i="6"/>
  <c r="H156" i="6"/>
  <c r="I156" i="6"/>
  <c r="J156" i="6"/>
  <c r="K156" i="6"/>
  <c r="L156" i="6"/>
  <c r="F156" i="6"/>
  <c r="E156" i="6"/>
  <c r="L9" i="10" l="1"/>
  <c r="D6" i="14" l="1"/>
  <c r="B2" i="15" l="1"/>
  <c r="L8" i="15"/>
  <c r="K8" i="15"/>
  <c r="J8" i="15"/>
  <c r="I8" i="15"/>
  <c r="H8" i="15"/>
  <c r="G8" i="15"/>
  <c r="F8" i="15"/>
  <c r="E8" i="15"/>
  <c r="F6" i="14" l="1"/>
  <c r="F7" i="14"/>
  <c r="F8" i="14"/>
  <c r="F9" i="14"/>
  <c r="F10" i="14"/>
  <c r="F11" i="14"/>
  <c r="F12" i="14"/>
  <c r="F13" i="14"/>
  <c r="F14" i="14"/>
  <c r="F15" i="14"/>
  <c r="F16" i="14"/>
  <c r="F17" i="14"/>
  <c r="F5" i="14"/>
  <c r="C6" i="1" l="1"/>
  <c r="C8" i="1"/>
  <c r="F25" i="6" l="1"/>
  <c r="E25" i="6"/>
  <c r="AF44" i="1" l="1"/>
  <c r="AG44" i="1" s="1"/>
  <c r="I44" i="1" s="1"/>
  <c r="AF45" i="1"/>
  <c r="AG45" i="1" s="1"/>
  <c r="I45" i="1" s="1"/>
  <c r="D45" i="1"/>
  <c r="AF46" i="1"/>
  <c r="AG46" i="1" s="1"/>
  <c r="I46" i="1" s="1"/>
  <c r="C46" i="1"/>
  <c r="D46" i="1"/>
  <c r="E46" i="1" s="1"/>
  <c r="B47" i="1"/>
  <c r="AF47" i="1"/>
  <c r="C47" i="1"/>
  <c r="K47" i="1"/>
  <c r="E45" i="1" l="1"/>
  <c r="D47" i="1"/>
  <c r="E47" i="1" s="1"/>
  <c r="G44" i="1"/>
  <c r="G46" i="1"/>
  <c r="G45" i="1"/>
  <c r="F46" i="1"/>
  <c r="F45" i="1"/>
  <c r="F44" i="1"/>
  <c r="H44" i="1" l="1"/>
  <c r="J44" i="1" s="1"/>
  <c r="H45" i="1"/>
  <c r="J45" i="1" s="1"/>
  <c r="H46" i="1"/>
  <c r="J46" i="1" s="1"/>
  <c r="F47" i="1"/>
  <c r="J47" i="1" l="1"/>
  <c r="H47" i="1"/>
  <c r="L45" i="1"/>
  <c r="M45" i="1" s="1"/>
  <c r="N45" i="1" s="1"/>
  <c r="O45" i="1" s="1"/>
  <c r="L46" i="1"/>
  <c r="M46" i="1" s="1"/>
  <c r="N46" i="1" s="1"/>
  <c r="O46" i="1" s="1"/>
  <c r="I47" i="1" l="1"/>
  <c r="G47" i="1"/>
  <c r="P46" i="1"/>
  <c r="P45" i="1"/>
  <c r="L44" i="1"/>
  <c r="M44" i="1" s="1"/>
  <c r="N44" i="1" s="1"/>
  <c r="O44" i="1" s="1"/>
  <c r="P44" i="1" l="1"/>
  <c r="O47" i="1"/>
  <c r="Q47" i="1" s="1"/>
  <c r="L47" i="1"/>
  <c r="M47" i="1" l="1"/>
  <c r="N47" i="1" s="1"/>
  <c r="P47" i="1"/>
  <c r="N16" i="6" l="1"/>
  <c r="E15" i="6"/>
  <c r="E23" i="6" s="1"/>
  <c r="L85" i="6"/>
  <c r="H70" i="6"/>
  <c r="E160" i="6" l="1"/>
  <c r="A5" i="14" l="1"/>
  <c r="B6" i="14" l="1"/>
  <c r="B7" i="14"/>
  <c r="B8" i="14"/>
  <c r="B9" i="14"/>
  <c r="B10" i="14"/>
  <c r="B11" i="14"/>
  <c r="B12" i="14"/>
  <c r="B13" i="14"/>
  <c r="B14" i="14"/>
  <c r="B15" i="14"/>
  <c r="B16" i="14"/>
  <c r="B17" i="14"/>
  <c r="B5" i="14"/>
  <c r="C6" i="14"/>
  <c r="C7" i="14"/>
  <c r="C8" i="14"/>
  <c r="C9" i="14"/>
  <c r="C10" i="14"/>
  <c r="C11" i="14"/>
  <c r="C12" i="14"/>
  <c r="C13" i="14"/>
  <c r="C14" i="14"/>
  <c r="C15" i="14"/>
  <c r="C16" i="14"/>
  <c r="C17" i="14"/>
  <c r="C5" i="14"/>
  <c r="L17" i="14" l="1"/>
  <c r="G17" i="14"/>
  <c r="L16" i="14"/>
  <c r="G16" i="14"/>
  <c r="L15" i="14"/>
  <c r="G15" i="14"/>
  <c r="L14" i="14"/>
  <c r="G14" i="14"/>
  <c r="L13" i="14"/>
  <c r="G13" i="14"/>
  <c r="L12" i="14"/>
  <c r="G12" i="14"/>
  <c r="L11" i="14"/>
  <c r="G11" i="14"/>
  <c r="L10" i="14"/>
  <c r="G10" i="14"/>
  <c r="L9" i="14"/>
  <c r="G9" i="14"/>
  <c r="E8" i="14"/>
  <c r="E7" i="14"/>
  <c r="E6" i="14"/>
  <c r="F40" i="6" l="1"/>
  <c r="E40" i="6"/>
  <c r="L160" i="6"/>
  <c r="H160" i="6"/>
  <c r="I160" i="6"/>
  <c r="J160" i="6"/>
  <c r="K160" i="6"/>
  <c r="E165" i="6"/>
  <c r="E158" i="6"/>
  <c r="E159" i="6"/>
  <c r="E157" i="6"/>
  <c r="E161" i="6" l="1"/>
  <c r="H145" i="6"/>
  <c r="E145" i="6"/>
  <c r="L145" i="6"/>
  <c r="K145" i="6"/>
  <c r="J145" i="6"/>
  <c r="I145" i="6"/>
  <c r="G145" i="6"/>
  <c r="F145" i="6"/>
  <c r="L130" i="6"/>
  <c r="K130" i="6"/>
  <c r="J130" i="6"/>
  <c r="I130" i="6"/>
  <c r="H130" i="6"/>
  <c r="G130" i="6"/>
  <c r="F130" i="6"/>
  <c r="E130" i="6"/>
  <c r="L115" i="6"/>
  <c r="K115" i="6"/>
  <c r="J115" i="6"/>
  <c r="I115" i="6"/>
  <c r="H115" i="6"/>
  <c r="G115" i="6"/>
  <c r="F115" i="6"/>
  <c r="E115" i="6"/>
  <c r="L100" i="6"/>
  <c r="K100" i="6"/>
  <c r="J100" i="6"/>
  <c r="I100" i="6"/>
  <c r="H100" i="6"/>
  <c r="G100" i="6"/>
  <c r="F100" i="6"/>
  <c r="E100" i="6"/>
  <c r="K85" i="6"/>
  <c r="J85" i="6"/>
  <c r="I85" i="6"/>
  <c r="H85" i="6"/>
  <c r="G85" i="6"/>
  <c r="F85" i="6"/>
  <c r="E85" i="6"/>
  <c r="J55" i="6"/>
  <c r="G70" i="6"/>
  <c r="L70" i="6"/>
  <c r="K70" i="6"/>
  <c r="J70" i="6"/>
  <c r="I70" i="6"/>
  <c r="F70" i="6"/>
  <c r="E70" i="6"/>
  <c r="E55" i="6"/>
  <c r="L55" i="6"/>
  <c r="K55" i="6"/>
  <c r="I55" i="6"/>
  <c r="H55" i="6"/>
  <c r="G55" i="6"/>
  <c r="F55" i="6"/>
  <c r="L40" i="6"/>
  <c r="K40" i="6"/>
  <c r="J40" i="6"/>
  <c r="I40" i="6"/>
  <c r="H40" i="6"/>
  <c r="G40" i="6"/>
  <c r="L25" i="6"/>
  <c r="K25" i="6"/>
  <c r="J25" i="6"/>
  <c r="I25" i="6"/>
  <c r="H25" i="6"/>
  <c r="G25" i="6"/>
  <c r="F15" i="6"/>
  <c r="F23" i="6" s="1"/>
  <c r="E166" i="6" l="1"/>
  <c r="E23" i="15" s="1"/>
  <c r="E162" i="6"/>
  <c r="D100" i="6"/>
  <c r="D115" i="6"/>
  <c r="D130" i="6"/>
  <c r="D40" i="6"/>
  <c r="D70" i="6"/>
  <c r="D25" i="6"/>
  <c r="D145" i="6"/>
  <c r="D55" i="6"/>
  <c r="D85" i="6"/>
  <c r="F12" i="6"/>
  <c r="F161" i="6"/>
  <c r="J172" i="6"/>
  <c r="J24" i="15" s="1"/>
  <c r="E12" i="6"/>
  <c r="G172" i="6"/>
  <c r="G24" i="15" s="1"/>
  <c r="H172" i="6"/>
  <c r="H24" i="15" s="1"/>
  <c r="K172" i="6"/>
  <c r="K24" i="15" s="1"/>
  <c r="E172" i="6"/>
  <c r="E24" i="15" s="1"/>
  <c r="L172" i="6"/>
  <c r="L24" i="15" s="1"/>
  <c r="I172" i="6"/>
  <c r="I24" i="15" s="1"/>
  <c r="F172" i="6"/>
  <c r="F24" i="15" s="1"/>
  <c r="E21" i="15" l="1"/>
  <c r="E22" i="15" s="1"/>
  <c r="F166" i="6"/>
  <c r="F23" i="15" s="1"/>
  <c r="F21" i="15" s="1"/>
  <c r="F162" i="6"/>
  <c r="G161" i="6"/>
  <c r="I46" i="10"/>
  <c r="E46" i="10"/>
  <c r="C46" i="10"/>
  <c r="H46" i="10"/>
  <c r="F46" i="10"/>
  <c r="E24" i="6"/>
  <c r="G46" i="10"/>
  <c r="J46" i="10"/>
  <c r="F24" i="6"/>
  <c r="C172" i="6"/>
  <c r="D46" i="10"/>
  <c r="G166" i="6" l="1"/>
  <c r="G23" i="15" s="1"/>
  <c r="G21" i="15" s="1"/>
  <c r="G162" i="6"/>
  <c r="F22" i="15"/>
  <c r="H161" i="6"/>
  <c r="H166" i="6" s="1"/>
  <c r="E27" i="1"/>
  <c r="E28" i="1"/>
  <c r="E29" i="1"/>
  <c r="J29" i="1" s="1"/>
  <c r="E30" i="1"/>
  <c r="E31" i="1"/>
  <c r="E32" i="1"/>
  <c r="E33" i="1"/>
  <c r="E34" i="1"/>
  <c r="E26" i="1"/>
  <c r="H18" i="11"/>
  <c r="G18" i="11"/>
  <c r="H27" i="1" l="1"/>
  <c r="J27" i="1"/>
  <c r="H30" i="1"/>
  <c r="J30" i="1"/>
  <c r="H33" i="1"/>
  <c r="J33" i="1"/>
  <c r="H32" i="1"/>
  <c r="J32" i="1"/>
  <c r="H28" i="1"/>
  <c r="J28" i="1"/>
  <c r="H34" i="1"/>
  <c r="J34" i="1"/>
  <c r="H31" i="1"/>
  <c r="J31" i="1"/>
  <c r="H26" i="1"/>
  <c r="J26" i="1"/>
  <c r="G22" i="15"/>
  <c r="H162" i="6"/>
  <c r="H23" i="15"/>
  <c r="H21" i="15" s="1"/>
  <c r="H29" i="1"/>
  <c r="I161" i="6"/>
  <c r="I166" i="6" s="1"/>
  <c r="K26" i="1"/>
  <c r="M33" i="1"/>
  <c r="K33" i="1"/>
  <c r="M32" i="1"/>
  <c r="K32" i="1"/>
  <c r="M31" i="1"/>
  <c r="K31" i="1"/>
  <c r="M27" i="1"/>
  <c r="K27" i="1"/>
  <c r="M29" i="1"/>
  <c r="K29" i="1"/>
  <c r="M28" i="1"/>
  <c r="K28" i="1"/>
  <c r="M34" i="1"/>
  <c r="K34" i="1"/>
  <c r="M30" i="1"/>
  <c r="K30" i="1"/>
  <c r="M26" i="1"/>
  <c r="H22" i="15" l="1"/>
  <c r="I162" i="6"/>
  <c r="I23" i="15"/>
  <c r="I21" i="15" s="1"/>
  <c r="J161" i="6"/>
  <c r="J166" i="6" s="1"/>
  <c r="N26" i="1"/>
  <c r="D17" i="14"/>
  <c r="N17" i="14" s="1"/>
  <c r="D15" i="14"/>
  <c r="N15" i="14" s="1"/>
  <c r="D16" i="14"/>
  <c r="N16" i="14" s="1"/>
  <c r="D8" i="14"/>
  <c r="N8" i="14" s="1"/>
  <c r="D7" i="14"/>
  <c r="N7" i="14" s="1"/>
  <c r="I22" i="15" l="1"/>
  <c r="J162" i="6"/>
  <c r="J23" i="15"/>
  <c r="J21" i="15" s="1"/>
  <c r="J22" i="15" s="1"/>
  <c r="L161" i="6"/>
  <c r="K161" i="6"/>
  <c r="K166" i="6" s="1"/>
  <c r="D9" i="14"/>
  <c r="N9" i="14" s="1"/>
  <c r="D10" i="14"/>
  <c r="N10" i="14" s="1"/>
  <c r="D13" i="14"/>
  <c r="N13" i="14" s="1"/>
  <c r="D12" i="14"/>
  <c r="N12" i="14" s="1"/>
  <c r="D11" i="14"/>
  <c r="N11" i="14" s="1"/>
  <c r="D14" i="14"/>
  <c r="N14" i="14" s="1"/>
  <c r="E16" i="14"/>
  <c r="E15" i="14"/>
  <c r="E17" i="14"/>
  <c r="K162" i="6" l="1"/>
  <c r="K23" i="15"/>
  <c r="K21" i="15" s="1"/>
  <c r="K22" i="15" s="1"/>
  <c r="E14" i="14"/>
  <c r="E13" i="14"/>
  <c r="E12" i="14"/>
  <c r="E11" i="14"/>
  <c r="E10" i="14"/>
  <c r="E9" i="14"/>
  <c r="L162" i="6" l="1"/>
  <c r="C5" i="1"/>
  <c r="C4" i="1"/>
  <c r="C7" i="1"/>
  <c r="C3" i="1"/>
  <c r="O19" i="10" l="1"/>
  <c r="M19" i="10"/>
  <c r="C13" i="10"/>
  <c r="C14" i="10"/>
  <c r="C15" i="10"/>
  <c r="C16" i="10"/>
  <c r="C17" i="10"/>
  <c r="I11" i="10"/>
  <c r="I12" i="10"/>
  <c r="I13" i="10"/>
  <c r="I14" i="10"/>
  <c r="I15" i="10"/>
  <c r="I16" i="10"/>
  <c r="I17" i="10"/>
  <c r="I10" i="10"/>
  <c r="C11" i="10"/>
  <c r="C12" i="10"/>
  <c r="C10" i="10"/>
  <c r="O21" i="10"/>
  <c r="I21" i="10" s="1"/>
  <c r="O22" i="10"/>
  <c r="I22" i="10" s="1"/>
  <c r="O23" i="10"/>
  <c r="I23" i="10" s="1"/>
  <c r="O24" i="10"/>
  <c r="I24" i="10" s="1"/>
  <c r="O25" i="10"/>
  <c r="I25" i="10" s="1"/>
  <c r="O26" i="10"/>
  <c r="I26" i="10" s="1"/>
  <c r="O27" i="10"/>
  <c r="O20" i="10"/>
  <c r="I20" i="10" s="1"/>
  <c r="N21" i="10"/>
  <c r="C21" i="10" s="1"/>
  <c r="N22" i="10"/>
  <c r="C22" i="10" s="1"/>
  <c r="N23" i="10"/>
  <c r="C23" i="10" s="1"/>
  <c r="N24" i="10"/>
  <c r="C24" i="10" s="1"/>
  <c r="N25" i="10"/>
  <c r="C25" i="10" s="1"/>
  <c r="N26" i="10"/>
  <c r="C26" i="10" s="1"/>
  <c r="N27" i="10"/>
  <c r="N20" i="10"/>
  <c r="C20" i="10" s="1"/>
  <c r="O9" i="10"/>
  <c r="N9" i="10"/>
  <c r="M9" i="10"/>
  <c r="C9" i="10" l="1"/>
  <c r="G5" i="14" s="1"/>
  <c r="T27" i="11" l="1"/>
  <c r="V27" i="11" s="1"/>
  <c r="W27" i="11" s="1"/>
  <c r="T26" i="11"/>
  <c r="V26" i="11" s="1"/>
  <c r="W26" i="11" s="1"/>
  <c r="T22" i="11" l="1"/>
  <c r="V22" i="11" s="1"/>
  <c r="T23" i="11"/>
  <c r="T24" i="11"/>
  <c r="V24" i="11" s="1"/>
  <c r="T25" i="11"/>
  <c r="T31" i="11"/>
  <c r="T21" i="11"/>
  <c r="T20" i="11"/>
  <c r="K48" i="10" l="1"/>
  <c r="K22" i="10"/>
  <c r="K23" i="10"/>
  <c r="K24" i="10"/>
  <c r="K25" i="10"/>
  <c r="K26" i="10"/>
  <c r="K27" i="10"/>
  <c r="K11" i="10"/>
  <c r="K12" i="10"/>
  <c r="K13" i="10"/>
  <c r="K14" i="10"/>
  <c r="K15" i="10"/>
  <c r="K16" i="10"/>
  <c r="K17" i="10"/>
  <c r="K18" i="10"/>
  <c r="N28" i="1" l="1"/>
  <c r="N29" i="1"/>
  <c r="N30" i="1"/>
  <c r="N32" i="1"/>
  <c r="N33" i="1"/>
  <c r="N34" i="1"/>
  <c r="N31" i="1" l="1"/>
  <c r="G10" i="11" l="1"/>
  <c r="U21" i="11" l="1"/>
  <c r="V21" i="11" s="1"/>
  <c r="W22" i="11" s="1"/>
  <c r="U23" i="11"/>
  <c r="V23" i="11" s="1"/>
  <c r="W24" i="11" s="1"/>
  <c r="U25" i="11"/>
  <c r="V25" i="11" s="1"/>
  <c r="W25" i="11" s="1"/>
  <c r="U31" i="11"/>
  <c r="V31" i="11" s="1"/>
  <c r="W31" i="11" s="1"/>
  <c r="P35" i="1"/>
  <c r="X31" i="11" l="1"/>
  <c r="X25" i="11"/>
  <c r="X24" i="11"/>
  <c r="AC22" i="11"/>
  <c r="AC24" i="11"/>
  <c r="AC25" i="11"/>
  <c r="X26" i="11"/>
  <c r="X22" i="11"/>
  <c r="X27" i="11"/>
  <c r="D132" i="6"/>
  <c r="G34" i="1"/>
  <c r="D117" i="6"/>
  <c r="D102" i="6"/>
  <c r="D87" i="6"/>
  <c r="D72" i="6"/>
  <c r="D57" i="6"/>
  <c r="D42" i="6"/>
  <c r="D27" i="6"/>
  <c r="D12" i="6"/>
  <c r="C169" i="6" l="1"/>
  <c r="I34" i="1"/>
  <c r="L34" i="1" l="1"/>
  <c r="O34" i="1"/>
  <c r="B2" i="6"/>
  <c r="Q34" i="1" l="1"/>
  <c r="R34" i="1" s="1"/>
  <c r="S34" i="1" s="1"/>
  <c r="T34" i="1" s="1"/>
  <c r="V34" i="1" s="1"/>
  <c r="G27" i="1"/>
  <c r="G28" i="1"/>
  <c r="G29" i="1"/>
  <c r="I29" i="1" s="1"/>
  <c r="L29" i="1" s="1"/>
  <c r="G30" i="1"/>
  <c r="G31" i="1"/>
  <c r="G32" i="1"/>
  <c r="G33" i="1"/>
  <c r="G26" i="1"/>
  <c r="I26" i="1" l="1"/>
  <c r="L26" i="1" s="1"/>
  <c r="AC34" i="1"/>
  <c r="D133" i="6"/>
  <c r="L133" i="6" s="1"/>
  <c r="U34" i="1"/>
  <c r="H10" i="11"/>
  <c r="N133" i="6" l="1"/>
  <c r="M133" i="6"/>
  <c r="O26" i="1"/>
  <c r="I28" i="1"/>
  <c r="O28" i="1" s="1"/>
  <c r="I30" i="1"/>
  <c r="Q26" i="1" l="1"/>
  <c r="R26" i="1" s="1"/>
  <c r="L30" i="1"/>
  <c r="O30" i="1"/>
  <c r="L28" i="1"/>
  <c r="Q28" i="1"/>
  <c r="R28" i="1" s="1"/>
  <c r="I31" i="1"/>
  <c r="I27" i="1"/>
  <c r="L31" i="1" l="1"/>
  <c r="O31" i="1"/>
  <c r="L27" i="1"/>
  <c r="N27" i="1" s="1"/>
  <c r="O27" i="1" s="1"/>
  <c r="O29" i="1"/>
  <c r="Q31" i="1" l="1"/>
  <c r="R31" i="1" s="1"/>
  <c r="Q29" i="1"/>
  <c r="R29" i="1" s="1"/>
  <c r="Q27" i="1"/>
  <c r="R27" i="1" s="1"/>
  <c r="Q30" i="1"/>
  <c r="R30" i="1" s="1"/>
  <c r="S28" i="1"/>
  <c r="T28" i="1" s="1"/>
  <c r="V28" i="1" s="1"/>
  <c r="B2" i="10"/>
  <c r="S27" i="1" l="1"/>
  <c r="T27" i="1" s="1"/>
  <c r="D28" i="6" l="1"/>
  <c r="V27" i="1"/>
  <c r="O137" i="6"/>
  <c r="O138" i="6"/>
  <c r="O139" i="6"/>
  <c r="O140" i="6"/>
  <c r="O141" i="6"/>
  <c r="O142" i="6"/>
  <c r="O136" i="6"/>
  <c r="O134" i="6"/>
  <c r="O133" i="6"/>
  <c r="N142" i="6"/>
  <c r="N141" i="6"/>
  <c r="N140" i="6"/>
  <c r="N139" i="6"/>
  <c r="N138" i="6"/>
  <c r="N137" i="6"/>
  <c r="N136" i="6"/>
  <c r="L135" i="6"/>
  <c r="K135" i="6"/>
  <c r="J135" i="6"/>
  <c r="I135" i="6"/>
  <c r="H135" i="6"/>
  <c r="G135" i="6"/>
  <c r="F135" i="6"/>
  <c r="E135" i="6"/>
  <c r="E143" i="6" s="1"/>
  <c r="N134" i="6"/>
  <c r="K132" i="6"/>
  <c r="O122" i="6"/>
  <c r="O123" i="6"/>
  <c r="O124" i="6"/>
  <c r="O125" i="6"/>
  <c r="O126" i="6"/>
  <c r="O127" i="6"/>
  <c r="O121" i="6"/>
  <c r="O119" i="6"/>
  <c r="O109" i="6"/>
  <c r="O95" i="6"/>
  <c r="O62" i="6"/>
  <c r="O91" i="6"/>
  <c r="O107" i="6"/>
  <c r="O108" i="6"/>
  <c r="O110" i="6"/>
  <c r="O111" i="6"/>
  <c r="O112" i="6"/>
  <c r="O106" i="6"/>
  <c r="O104" i="6"/>
  <c r="N127" i="6"/>
  <c r="N126" i="6"/>
  <c r="N125" i="6"/>
  <c r="N124" i="6"/>
  <c r="N123" i="6"/>
  <c r="N122" i="6"/>
  <c r="N121" i="6"/>
  <c r="L120" i="6"/>
  <c r="K120" i="6"/>
  <c r="J120" i="6"/>
  <c r="I120" i="6"/>
  <c r="H120" i="6"/>
  <c r="G120" i="6"/>
  <c r="F120" i="6"/>
  <c r="E120" i="6"/>
  <c r="E128" i="6" s="1"/>
  <c r="N119" i="6"/>
  <c r="N112" i="6"/>
  <c r="N111" i="6"/>
  <c r="N110" i="6"/>
  <c r="N109" i="6"/>
  <c r="N108" i="6"/>
  <c r="N107" i="6"/>
  <c r="N106" i="6"/>
  <c r="L105" i="6"/>
  <c r="K105" i="6"/>
  <c r="J105" i="6"/>
  <c r="I105" i="6"/>
  <c r="H105" i="6"/>
  <c r="G105" i="6"/>
  <c r="F105" i="6"/>
  <c r="E105" i="6"/>
  <c r="E113" i="6" s="1"/>
  <c r="N104" i="6"/>
  <c r="K102" i="6"/>
  <c r="O89" i="6"/>
  <c r="O92" i="6"/>
  <c r="O93" i="6"/>
  <c r="O94" i="6"/>
  <c r="O96" i="6"/>
  <c r="O97" i="6"/>
  <c r="N97" i="6"/>
  <c r="N96" i="6"/>
  <c r="N95" i="6"/>
  <c r="N94" i="6"/>
  <c r="N93" i="6"/>
  <c r="N92" i="6"/>
  <c r="N91" i="6"/>
  <c r="L90" i="6"/>
  <c r="K90" i="6"/>
  <c r="K87" i="6" s="1"/>
  <c r="J90" i="6"/>
  <c r="I90" i="6"/>
  <c r="H90" i="6"/>
  <c r="G90" i="6"/>
  <c r="F90" i="6"/>
  <c r="E90" i="6"/>
  <c r="E98" i="6" s="1"/>
  <c r="N89" i="6"/>
  <c r="O77" i="6"/>
  <c r="O78" i="6"/>
  <c r="O79" i="6"/>
  <c r="O80" i="6"/>
  <c r="O81" i="6"/>
  <c r="O82" i="6"/>
  <c r="O76" i="6"/>
  <c r="O74" i="6"/>
  <c r="O63" i="6"/>
  <c r="O64" i="6"/>
  <c r="O65" i="6"/>
  <c r="O66" i="6"/>
  <c r="O67" i="6"/>
  <c r="O61" i="6"/>
  <c r="O59" i="6"/>
  <c r="O47" i="6"/>
  <c r="O48" i="6"/>
  <c r="O49" i="6"/>
  <c r="O50" i="6"/>
  <c r="O51" i="6"/>
  <c r="O52" i="6"/>
  <c r="O46" i="6"/>
  <c r="O44" i="6"/>
  <c r="O32" i="6"/>
  <c r="O33" i="6"/>
  <c r="O34" i="6"/>
  <c r="O35" i="6"/>
  <c r="O36" i="6"/>
  <c r="O37" i="6"/>
  <c r="O29" i="6"/>
  <c r="O31" i="6"/>
  <c r="O16" i="6"/>
  <c r="H98" i="6" l="1"/>
  <c r="L98" i="6"/>
  <c r="I128" i="6"/>
  <c r="I143" i="6"/>
  <c r="F113" i="6"/>
  <c r="J128" i="6"/>
  <c r="F143" i="6"/>
  <c r="J143" i="6"/>
  <c r="I113" i="6"/>
  <c r="J113" i="6"/>
  <c r="F128" i="6"/>
  <c r="F98" i="6"/>
  <c r="J98" i="6"/>
  <c r="G113" i="6"/>
  <c r="K113" i="6"/>
  <c r="G128" i="6"/>
  <c r="K128" i="6"/>
  <c r="G143" i="6"/>
  <c r="K143" i="6"/>
  <c r="I98" i="6"/>
  <c r="G98" i="6"/>
  <c r="K98" i="6"/>
  <c r="H113" i="6"/>
  <c r="L113" i="6"/>
  <c r="H128" i="6"/>
  <c r="L128" i="6"/>
  <c r="H143" i="6"/>
  <c r="L143" i="6"/>
  <c r="F132" i="6"/>
  <c r="J132" i="6"/>
  <c r="H132" i="6"/>
  <c r="L132" i="6"/>
  <c r="G132" i="6"/>
  <c r="H117" i="6"/>
  <c r="I117" i="6"/>
  <c r="F117" i="6"/>
  <c r="J117" i="6"/>
  <c r="G117" i="6"/>
  <c r="K117" i="6"/>
  <c r="F102" i="6"/>
  <c r="J102" i="6"/>
  <c r="G102" i="6"/>
  <c r="H102" i="6"/>
  <c r="H87" i="6"/>
  <c r="F87" i="6"/>
  <c r="J87" i="6"/>
  <c r="E117" i="6"/>
  <c r="O132" i="6"/>
  <c r="G87" i="6"/>
  <c r="E132" i="6"/>
  <c r="I132" i="6"/>
  <c r="E102" i="6"/>
  <c r="I102" i="6"/>
  <c r="E87" i="6"/>
  <c r="I87" i="6"/>
  <c r="L150" i="6"/>
  <c r="L17" i="15" s="1"/>
  <c r="K150" i="6"/>
  <c r="K17" i="15" s="1"/>
  <c r="J150" i="6"/>
  <c r="J17" i="15" s="1"/>
  <c r="E114" i="6" l="1"/>
  <c r="E129" i="6"/>
  <c r="E99" i="6"/>
  <c r="E144" i="6"/>
  <c r="D143" i="6"/>
  <c r="D128" i="6"/>
  <c r="D98" i="6"/>
  <c r="D113" i="6"/>
  <c r="I144" i="6"/>
  <c r="I129" i="6"/>
  <c r="G144" i="6"/>
  <c r="J99" i="6"/>
  <c r="J114" i="6"/>
  <c r="H144" i="6"/>
  <c r="J129" i="6"/>
  <c r="G114" i="6"/>
  <c r="H129" i="6"/>
  <c r="K144" i="6"/>
  <c r="K114" i="6"/>
  <c r="H99" i="6"/>
  <c r="F129" i="6"/>
  <c r="H114" i="6"/>
  <c r="K129" i="6"/>
  <c r="J144" i="6"/>
  <c r="I99" i="6"/>
  <c r="I114" i="6"/>
  <c r="G99" i="6"/>
  <c r="L144" i="6"/>
  <c r="K99" i="6"/>
  <c r="G129" i="6"/>
  <c r="F99" i="6"/>
  <c r="F144" i="6"/>
  <c r="F114" i="6"/>
  <c r="N132" i="6"/>
  <c r="N17" i="6"/>
  <c r="L75" i="6"/>
  <c r="K75" i="6"/>
  <c r="J75" i="6"/>
  <c r="I75" i="6"/>
  <c r="H75" i="6"/>
  <c r="G75" i="6"/>
  <c r="F75" i="6"/>
  <c r="E75" i="6"/>
  <c r="E83" i="6" s="1"/>
  <c r="L60" i="6"/>
  <c r="K60" i="6"/>
  <c r="J60" i="6"/>
  <c r="I60" i="6"/>
  <c r="H60" i="6"/>
  <c r="G60" i="6"/>
  <c r="F60" i="6"/>
  <c r="E60" i="6"/>
  <c r="E68" i="6" s="1"/>
  <c r="L45" i="6"/>
  <c r="K45" i="6"/>
  <c r="J45" i="6"/>
  <c r="I45" i="6"/>
  <c r="H45" i="6"/>
  <c r="G45" i="6"/>
  <c r="F45" i="6"/>
  <c r="E45" i="6"/>
  <c r="E53" i="6" s="1"/>
  <c r="L30" i="6"/>
  <c r="K30" i="6"/>
  <c r="J30" i="6"/>
  <c r="I30" i="6"/>
  <c r="H30" i="6"/>
  <c r="G30" i="6"/>
  <c r="F30" i="6"/>
  <c r="E30" i="6"/>
  <c r="E38" i="6" s="1"/>
  <c r="G15" i="6"/>
  <c r="G23" i="6" s="1"/>
  <c r="H15" i="6"/>
  <c r="I15" i="6"/>
  <c r="J15" i="6"/>
  <c r="K15" i="6"/>
  <c r="L15" i="6"/>
  <c r="N74" i="6"/>
  <c r="N44" i="6"/>
  <c r="N29" i="6"/>
  <c r="N82" i="6"/>
  <c r="N81" i="6"/>
  <c r="N80" i="6"/>
  <c r="N79" i="6"/>
  <c r="N78" i="6"/>
  <c r="N77" i="6"/>
  <c r="N76" i="6"/>
  <c r="N67" i="6"/>
  <c r="N66" i="6"/>
  <c r="N65" i="6"/>
  <c r="N64" i="6"/>
  <c r="N63" i="6"/>
  <c r="N62" i="6"/>
  <c r="N61" i="6"/>
  <c r="N52" i="6"/>
  <c r="N51" i="6"/>
  <c r="N50" i="6"/>
  <c r="N49" i="6"/>
  <c r="N48" i="6"/>
  <c r="N47" i="6"/>
  <c r="N46" i="6"/>
  <c r="N37" i="6"/>
  <c r="N36" i="6"/>
  <c r="N35" i="6"/>
  <c r="N34" i="6"/>
  <c r="N33" i="6"/>
  <c r="N32" i="6"/>
  <c r="N31" i="6"/>
  <c r="N18" i="6"/>
  <c r="N19" i="6"/>
  <c r="N20" i="6"/>
  <c r="N21" i="6"/>
  <c r="N22" i="6"/>
  <c r="D152" i="6"/>
  <c r="D153" i="6"/>
  <c r="D151" i="6"/>
  <c r="N14" i="6"/>
  <c r="F38" i="6" l="1"/>
  <c r="F53" i="6"/>
  <c r="F68" i="6"/>
  <c r="F83" i="6"/>
  <c r="G38" i="6"/>
  <c r="G53" i="6"/>
  <c r="G68" i="6"/>
  <c r="G83" i="6"/>
  <c r="K83" i="6"/>
  <c r="L38" i="6"/>
  <c r="H68" i="6"/>
  <c r="L68" i="6"/>
  <c r="H83" i="6"/>
  <c r="L83" i="6"/>
  <c r="K68" i="6"/>
  <c r="H38" i="6"/>
  <c r="L53" i="6"/>
  <c r="I38" i="6"/>
  <c r="I53" i="6"/>
  <c r="I68" i="6"/>
  <c r="I83" i="6"/>
  <c r="K53" i="6"/>
  <c r="H53" i="6"/>
  <c r="J38" i="6"/>
  <c r="J53" i="6"/>
  <c r="J68" i="6"/>
  <c r="J83" i="6"/>
  <c r="K23" i="6"/>
  <c r="L23" i="6"/>
  <c r="H23" i="6"/>
  <c r="J23" i="6"/>
  <c r="K38" i="6"/>
  <c r="I23" i="6"/>
  <c r="E72" i="6"/>
  <c r="J72" i="6"/>
  <c r="H72" i="6"/>
  <c r="I72" i="6"/>
  <c r="G72" i="6"/>
  <c r="K72" i="6"/>
  <c r="H57" i="6"/>
  <c r="E57" i="6"/>
  <c r="E69" i="6" s="1"/>
  <c r="I57" i="6"/>
  <c r="F57" i="6"/>
  <c r="J57" i="6"/>
  <c r="G57" i="6"/>
  <c r="K57" i="6"/>
  <c r="H42" i="6"/>
  <c r="E42" i="6"/>
  <c r="E54" i="6" s="1"/>
  <c r="I42" i="6"/>
  <c r="F42" i="6"/>
  <c r="J42" i="6"/>
  <c r="G42" i="6"/>
  <c r="K42" i="6"/>
  <c r="K12" i="6"/>
  <c r="G12" i="6"/>
  <c r="H27" i="6"/>
  <c r="J12" i="6"/>
  <c r="I27" i="6"/>
  <c r="I12" i="6"/>
  <c r="J27" i="6"/>
  <c r="H12" i="6"/>
  <c r="G27" i="6"/>
  <c r="K27" i="6"/>
  <c r="D144" i="6"/>
  <c r="E27" i="6"/>
  <c r="E170" i="6"/>
  <c r="C44" i="10" s="1"/>
  <c r="K30" i="10"/>
  <c r="I18" i="15" l="1"/>
  <c r="G24" i="6"/>
  <c r="G18" i="15"/>
  <c r="K18" i="15"/>
  <c r="K15" i="15" s="1"/>
  <c r="E84" i="6"/>
  <c r="E18" i="15"/>
  <c r="H18" i="15"/>
  <c r="J18" i="15"/>
  <c r="J15" i="15" s="1"/>
  <c r="H69" i="6"/>
  <c r="F54" i="6"/>
  <c r="D83" i="6"/>
  <c r="D68" i="6"/>
  <c r="H54" i="6"/>
  <c r="F69" i="6"/>
  <c r="D38" i="6"/>
  <c r="D53" i="6"/>
  <c r="J69" i="6"/>
  <c r="I69" i="6"/>
  <c r="G169" i="6"/>
  <c r="G69" i="6"/>
  <c r="K69" i="6"/>
  <c r="G54" i="6"/>
  <c r="H169" i="6"/>
  <c r="H24" i="6"/>
  <c r="I24" i="6"/>
  <c r="J54" i="6"/>
  <c r="K169" i="6"/>
  <c r="K54" i="6"/>
  <c r="J169" i="6"/>
  <c r="I169" i="6"/>
  <c r="I54" i="6"/>
  <c r="J24" i="6"/>
  <c r="K24" i="6"/>
  <c r="E39" i="6"/>
  <c r="E171" i="6" s="1"/>
  <c r="C34" i="10" s="1"/>
  <c r="C32" i="10" s="1"/>
  <c r="E169" i="6"/>
  <c r="D23" i="6"/>
  <c r="J170" i="6"/>
  <c r="F170" i="6"/>
  <c r="D44" i="10" s="1"/>
  <c r="G170" i="6"/>
  <c r="H170" i="6"/>
  <c r="I170" i="6"/>
  <c r="K170" i="6"/>
  <c r="L170" i="6"/>
  <c r="C170" i="6" l="1"/>
  <c r="D47" i="9" l="1"/>
  <c r="E47" i="9"/>
  <c r="F47" i="9"/>
  <c r="G47" i="9"/>
  <c r="H47" i="9"/>
  <c r="I47" i="9"/>
  <c r="J47" i="9"/>
  <c r="C47" i="9"/>
  <c r="D34" i="9"/>
  <c r="E34" i="9"/>
  <c r="F34" i="9"/>
  <c r="G34" i="9"/>
  <c r="H34" i="9"/>
  <c r="I34" i="9"/>
  <c r="J34" i="9"/>
  <c r="C34" i="9"/>
  <c r="J39" i="9"/>
  <c r="J21" i="9"/>
  <c r="D11" i="9"/>
  <c r="E11" i="9"/>
  <c r="F11" i="9"/>
  <c r="G11" i="9"/>
  <c r="H11" i="9"/>
  <c r="I11" i="9"/>
  <c r="J11" i="9"/>
  <c r="C11" i="9"/>
  <c r="F11" i="6"/>
  <c r="G11" i="6"/>
  <c r="H11" i="6"/>
  <c r="I11" i="6"/>
  <c r="J11" i="6"/>
  <c r="K11" i="6"/>
  <c r="L11" i="6"/>
  <c r="E11" i="6"/>
  <c r="F148" i="6"/>
  <c r="G148" i="6"/>
  <c r="H148" i="6"/>
  <c r="I148" i="6"/>
  <c r="J148" i="6"/>
  <c r="K148" i="6"/>
  <c r="L148" i="6"/>
  <c r="E148" i="6"/>
  <c r="I44" i="10"/>
  <c r="I58" i="10"/>
  <c r="J9" i="10" l="1"/>
  <c r="I19" i="10"/>
  <c r="S22" i="10" s="1"/>
  <c r="I9" i="10"/>
  <c r="K10" i="10"/>
  <c r="L5" i="14" l="1"/>
  <c r="I28" i="10"/>
  <c r="S20" i="10"/>
  <c r="S21" i="10"/>
  <c r="S26" i="10"/>
  <c r="S25" i="10"/>
  <c r="S27" i="10"/>
  <c r="S24" i="10"/>
  <c r="S23" i="10"/>
  <c r="S13" i="10"/>
  <c r="S17" i="10"/>
  <c r="S14" i="10"/>
  <c r="S18" i="10"/>
  <c r="S10" i="10"/>
  <c r="S19" i="10" l="1"/>
  <c r="S31" i="1"/>
  <c r="S29" i="1"/>
  <c r="T29" i="1" s="1"/>
  <c r="S30" i="1"/>
  <c r="T30" i="1" s="1"/>
  <c r="V30" i="1" s="1"/>
  <c r="V29" i="1" l="1"/>
  <c r="D58" i="6"/>
  <c r="T31" i="1"/>
  <c r="D43" i="6"/>
  <c r="L43" i="6" s="1"/>
  <c r="M43" i="6" s="1"/>
  <c r="L58" i="6" l="1"/>
  <c r="M58" i="6" s="1"/>
  <c r="D88" i="6"/>
  <c r="L88" i="6" s="1"/>
  <c r="M88" i="6" s="1"/>
  <c r="V31" i="1"/>
  <c r="O43" i="6"/>
  <c r="O42" i="6" s="1"/>
  <c r="N43" i="6"/>
  <c r="L42" i="6"/>
  <c r="U29" i="1"/>
  <c r="AC29" i="1"/>
  <c r="U28" i="1"/>
  <c r="AC28" i="1"/>
  <c r="D73" i="6"/>
  <c r="O58" i="6" l="1"/>
  <c r="O57" i="6" s="1"/>
  <c r="L57" i="6"/>
  <c r="L69" i="6" s="1"/>
  <c r="L54" i="6"/>
  <c r="N88" i="6"/>
  <c r="O88" i="6"/>
  <c r="O87" i="6" s="1"/>
  <c r="L87" i="6"/>
  <c r="L73" i="6"/>
  <c r="I32" i="1"/>
  <c r="O32" i="1" s="1"/>
  <c r="I33" i="1"/>
  <c r="O33" i="1" s="1"/>
  <c r="U30" i="1"/>
  <c r="AC30" i="1"/>
  <c r="U31" i="1"/>
  <c r="N42" i="6"/>
  <c r="L99" i="6" l="1"/>
  <c r="D99" i="6" s="1"/>
  <c r="L72" i="6"/>
  <c r="M73" i="6"/>
  <c r="N57" i="6"/>
  <c r="L33" i="1"/>
  <c r="Q33" i="1" s="1"/>
  <c r="L32" i="1"/>
  <c r="Q32" i="1" s="1"/>
  <c r="N87" i="6"/>
  <c r="O73" i="6"/>
  <c r="O72" i="6" s="1"/>
  <c r="N73" i="6"/>
  <c r="F72" i="6"/>
  <c r="AC31" i="1"/>
  <c r="L84" i="6" l="1"/>
  <c r="K84" i="6"/>
  <c r="R32" i="1"/>
  <c r="S32" i="1" s="1"/>
  <c r="R33" i="1"/>
  <c r="S33" i="1" s="1"/>
  <c r="F84" i="6"/>
  <c r="J84" i="6"/>
  <c r="H84" i="6"/>
  <c r="I84" i="6"/>
  <c r="G84" i="6"/>
  <c r="N72" i="6"/>
  <c r="T33" i="1" l="1"/>
  <c r="U33" i="1" s="1"/>
  <c r="T32" i="1"/>
  <c r="D84" i="6"/>
  <c r="U27" i="1"/>
  <c r="D103" i="6" l="1"/>
  <c r="L103" i="6" s="1"/>
  <c r="M103" i="6" s="1"/>
  <c r="V32" i="1"/>
  <c r="D118" i="6"/>
  <c r="L118" i="6" s="1"/>
  <c r="V33" i="1"/>
  <c r="U32" i="1"/>
  <c r="L28" i="6"/>
  <c r="M28" i="6" s="1"/>
  <c r="D69" i="6"/>
  <c r="L102" i="6" l="1"/>
  <c r="L114" i="6" s="1"/>
  <c r="D114" i="6" s="1"/>
  <c r="N103" i="6"/>
  <c r="O103" i="6"/>
  <c r="O102" i="6" s="1"/>
  <c r="N118" i="6"/>
  <c r="M118" i="6"/>
  <c r="L117" i="6"/>
  <c r="N117" i="6" s="1"/>
  <c r="O118" i="6"/>
  <c r="O117" i="6" s="1"/>
  <c r="O28" i="6"/>
  <c r="O27" i="6" s="1"/>
  <c r="N28" i="6"/>
  <c r="F27" i="6"/>
  <c r="L27" i="6"/>
  <c r="O17" i="6"/>
  <c r="O20" i="6"/>
  <c r="O21" i="6"/>
  <c r="O22" i="6"/>
  <c r="N102" i="6" l="1"/>
  <c r="F18" i="15"/>
  <c r="L129" i="6"/>
  <c r="D129" i="6" s="1"/>
  <c r="I39" i="6"/>
  <c r="L39" i="6"/>
  <c r="F39" i="6"/>
  <c r="G39" i="6"/>
  <c r="G171" i="6" s="1"/>
  <c r="E34" i="10" s="1"/>
  <c r="J39" i="6"/>
  <c r="H39" i="6"/>
  <c r="H171" i="6" s="1"/>
  <c r="F34" i="10" s="1"/>
  <c r="I171" i="6"/>
  <c r="G34" i="10" s="1"/>
  <c r="K39" i="6"/>
  <c r="K171" i="6" s="1"/>
  <c r="I34" i="10" s="1"/>
  <c r="J171" i="6"/>
  <c r="H34" i="10" s="1"/>
  <c r="N27" i="6"/>
  <c r="F169" i="6"/>
  <c r="E150" i="6"/>
  <c r="E17" i="15" s="1"/>
  <c r="E15" i="15" s="1"/>
  <c r="F150" i="6"/>
  <c r="F17" i="15" s="1"/>
  <c r="G150" i="6"/>
  <c r="G17" i="15" s="1"/>
  <c r="G15" i="15" s="1"/>
  <c r="H150" i="6"/>
  <c r="H17" i="15" s="1"/>
  <c r="H15" i="15" s="1"/>
  <c r="I150" i="6"/>
  <c r="I17" i="15" s="1"/>
  <c r="I15" i="15" s="1"/>
  <c r="J44" i="10"/>
  <c r="F15" i="15" l="1"/>
  <c r="E16" i="15"/>
  <c r="F171" i="6"/>
  <c r="D34" i="10" s="1"/>
  <c r="D32" i="10" s="1"/>
  <c r="D150" i="6"/>
  <c r="J84" i="9"/>
  <c r="H84" i="9"/>
  <c r="G84" i="9"/>
  <c r="F84" i="9"/>
  <c r="E84" i="9"/>
  <c r="D84" i="9"/>
  <c r="C84" i="9"/>
  <c r="F16" i="15" l="1"/>
  <c r="G16" i="15" s="1"/>
  <c r="H16" i="15" s="1"/>
  <c r="I16" i="15" s="1"/>
  <c r="J16" i="15" s="1"/>
  <c r="K16" i="15" s="1"/>
  <c r="K35" i="10"/>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H99" i="9" s="1"/>
  <c r="G100" i="9"/>
  <c r="G99" i="9" s="1"/>
  <c r="F100" i="9"/>
  <c r="F99" i="9" s="1"/>
  <c r="E100" i="9"/>
  <c r="E99" i="9" s="1"/>
  <c r="D100" i="9"/>
  <c r="D99" i="9" s="1"/>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K19" i="10" s="1"/>
  <c r="J56" i="9"/>
  <c r="H56" i="9"/>
  <c r="H9" i="10" s="1"/>
  <c r="G56" i="9"/>
  <c r="G9" i="10" s="1"/>
  <c r="J5" i="14" s="1"/>
  <c r="F56" i="9"/>
  <c r="F9" i="10" s="1"/>
  <c r="E56" i="9"/>
  <c r="E9" i="10" s="1"/>
  <c r="H5" i="14"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D28" i="10" l="1"/>
  <c r="D31" i="10" s="1"/>
  <c r="D43" i="10" s="1"/>
  <c r="F11" i="15" s="1"/>
  <c r="K9" i="10"/>
  <c r="Q24" i="10"/>
  <c r="Q23" i="10"/>
  <c r="Q27" i="10"/>
  <c r="Q25" i="10"/>
  <c r="Q26" i="10"/>
  <c r="R25" i="10"/>
  <c r="R26" i="10"/>
  <c r="R24" i="10"/>
  <c r="R23" i="10"/>
  <c r="R27" i="10"/>
  <c r="R14" i="10"/>
  <c r="R18" i="10"/>
  <c r="R13" i="10"/>
  <c r="R17" i="10"/>
  <c r="E58" i="10"/>
  <c r="G58" i="10"/>
  <c r="J58" i="10"/>
  <c r="H58" i="10"/>
  <c r="D58" i="10"/>
  <c r="C58" i="10"/>
  <c r="F58" i="10"/>
  <c r="K33" i="10"/>
  <c r="K37" i="10"/>
  <c r="K39" i="10"/>
  <c r="K36" i="10"/>
  <c r="C114" i="9"/>
  <c r="E114" i="9"/>
  <c r="E103" i="9" s="1"/>
  <c r="K29" i="10"/>
  <c r="C57"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F26" i="15" l="1"/>
  <c r="F9" i="15"/>
  <c r="C56" i="10"/>
  <c r="C28" i="10"/>
  <c r="Q13" i="10"/>
  <c r="Q17" i="10"/>
  <c r="Q14" i="10"/>
  <c r="Q18" i="10"/>
  <c r="Q10" i="10"/>
  <c r="Q11" i="10"/>
  <c r="Q12" i="10"/>
  <c r="K38" i="10"/>
  <c r="Q20" i="10"/>
  <c r="R20" i="10"/>
  <c r="Q22" i="10"/>
  <c r="Q21" i="10"/>
  <c r="D44" i="9"/>
  <c r="E22" i="9"/>
  <c r="E27" i="9" s="1"/>
  <c r="F20" i="9"/>
  <c r="F13" i="9"/>
  <c r="E16" i="9"/>
  <c r="C29" i="9"/>
  <c r="D29" i="9"/>
  <c r="F43" i="9"/>
  <c r="F42" i="9"/>
  <c r="G36" i="9"/>
  <c r="E44" i="9"/>
  <c r="F167" i="6" l="1"/>
  <c r="F20" i="15"/>
  <c r="F27" i="15"/>
  <c r="C31" i="10"/>
  <c r="Q9" i="10"/>
  <c r="Q19" i="10"/>
  <c r="R21" i="10"/>
  <c r="D57" i="10"/>
  <c r="R22" i="10"/>
  <c r="E29" i="9"/>
  <c r="E30" i="9"/>
  <c r="F22" i="9"/>
  <c r="F27" i="9" s="1"/>
  <c r="G20" i="9"/>
  <c r="D31" i="9"/>
  <c r="F44" i="9"/>
  <c r="F16" i="9"/>
  <c r="G13" i="9"/>
  <c r="C31" i="9"/>
  <c r="G43" i="9"/>
  <c r="G42" i="9"/>
  <c r="H36" i="9"/>
  <c r="R19" i="10" l="1"/>
  <c r="D56" i="10"/>
  <c r="R12" i="10"/>
  <c r="R11" i="10"/>
  <c r="E56" i="10"/>
  <c r="R10" i="10"/>
  <c r="E28" i="10"/>
  <c r="E31" i="9"/>
  <c r="G22" i="9"/>
  <c r="G27" i="9" s="1"/>
  <c r="H20" i="9"/>
  <c r="G44" i="9"/>
  <c r="G16" i="9"/>
  <c r="H13" i="9"/>
  <c r="F29" i="9"/>
  <c r="I36" i="9"/>
  <c r="J36" i="9" s="1"/>
  <c r="H42" i="9"/>
  <c r="H43" i="9"/>
  <c r="F30" i="9"/>
  <c r="F57" i="10" s="1"/>
  <c r="J43" i="9" l="1"/>
  <c r="J42" i="9"/>
  <c r="J44" i="9" s="1"/>
  <c r="E31" i="10"/>
  <c r="R9" i="10"/>
  <c r="AC33" i="1"/>
  <c r="F28" i="10"/>
  <c r="F31" i="10" s="1"/>
  <c r="D39" i="6"/>
  <c r="D54" i="6"/>
  <c r="F56" i="10"/>
  <c r="E57" i="10"/>
  <c r="G29" i="9"/>
  <c r="I20" i="9"/>
  <c r="H22" i="9"/>
  <c r="G30" i="9"/>
  <c r="G57" i="10" s="1"/>
  <c r="H44" i="9"/>
  <c r="I42" i="9"/>
  <c r="I43" i="9"/>
  <c r="K36" i="9"/>
  <c r="F31" i="9"/>
  <c r="H16" i="9"/>
  <c r="I13" i="9"/>
  <c r="I22" i="9" l="1"/>
  <c r="I27" i="9" s="1"/>
  <c r="J20" i="9"/>
  <c r="J22" i="9" s="1"/>
  <c r="J27" i="9" s="1"/>
  <c r="I16" i="9"/>
  <c r="J13" i="9"/>
  <c r="AC32" i="1"/>
  <c r="G28" i="10"/>
  <c r="G31" i="10" s="1"/>
  <c r="K20" i="9"/>
  <c r="G56" i="10"/>
  <c r="H27" i="9"/>
  <c r="K27" i="9" s="1"/>
  <c r="K22" i="9"/>
  <c r="I30" i="9"/>
  <c r="K13" i="9"/>
  <c r="I44" i="9"/>
  <c r="K44" i="9" s="1"/>
  <c r="K42" i="9"/>
  <c r="K43" i="9"/>
  <c r="H30" i="9"/>
  <c r="H57" i="10" s="1"/>
  <c r="G31" i="9"/>
  <c r="J16" i="9" l="1"/>
  <c r="J30" i="9"/>
  <c r="J29" i="9"/>
  <c r="J31" i="9" s="1"/>
  <c r="K21" i="10"/>
  <c r="H29" i="9"/>
  <c r="I29" i="9"/>
  <c r="K16" i="9"/>
  <c r="K30" i="9"/>
  <c r="S12" i="10" l="1"/>
  <c r="S11" i="10"/>
  <c r="I57" i="10"/>
  <c r="K20" i="10"/>
  <c r="I31" i="10"/>
  <c r="I56" i="10"/>
  <c r="H31" i="9"/>
  <c r="H28" i="10"/>
  <c r="K28" i="10" s="1"/>
  <c r="J57" i="10"/>
  <c r="I31" i="9"/>
  <c r="K29" i="9"/>
  <c r="J28" i="10" s="1"/>
  <c r="J31" i="10" s="1"/>
  <c r="H31" i="10" l="1"/>
  <c r="K31" i="10" s="1"/>
  <c r="S9" i="10"/>
  <c r="K31" i="9"/>
  <c r="H56" i="10"/>
  <c r="J56" i="10"/>
  <c r="F44" i="10" l="1"/>
  <c r="E44" i="10"/>
  <c r="D125" i="9" l="1"/>
  <c r="D123" i="9" s="1"/>
  <c r="D81" i="9"/>
  <c r="D79" i="9" s="1"/>
  <c r="C125" i="9" l="1"/>
  <c r="C123" i="9" s="1"/>
  <c r="C81" i="9"/>
  <c r="C79" i="9" s="1"/>
  <c r="D59" i="10" l="1"/>
  <c r="Q33" i="10"/>
  <c r="C59" i="10"/>
  <c r="C43" i="10"/>
  <c r="E11" i="15" s="1"/>
  <c r="E26" i="15" l="1"/>
  <c r="E9" i="15"/>
  <c r="E167" i="6" s="1"/>
  <c r="G7" i="14"/>
  <c r="C45" i="10"/>
  <c r="E27" i="15" l="1"/>
  <c r="E28" i="15" s="1"/>
  <c r="F28" i="15" s="1"/>
  <c r="E20" i="15"/>
  <c r="E10" i="15"/>
  <c r="F10" i="15" s="1"/>
  <c r="E125" i="9"/>
  <c r="E123" i="9" s="1"/>
  <c r="E81" i="9"/>
  <c r="E79" i="9" s="1"/>
  <c r="G44" i="10"/>
  <c r="E32" i="10" l="1"/>
  <c r="AC27" i="1"/>
  <c r="F81" i="9"/>
  <c r="F79" i="9" s="1"/>
  <c r="F125" i="9"/>
  <c r="F123" i="9" s="1"/>
  <c r="H44" i="10"/>
  <c r="E59" i="10" l="1"/>
  <c r="E43" i="10"/>
  <c r="F32" i="10"/>
  <c r="G125" i="9"/>
  <c r="G123" i="9" s="1"/>
  <c r="G81" i="9"/>
  <c r="G79" i="9" s="1"/>
  <c r="H7" i="14" l="1"/>
  <c r="G11" i="15"/>
  <c r="F59" i="10"/>
  <c r="F43" i="10"/>
  <c r="H11" i="15" s="1"/>
  <c r="G32" i="10"/>
  <c r="H125" i="9"/>
  <c r="H123" i="9" s="1"/>
  <c r="H81" i="9"/>
  <c r="H79" i="9" s="1"/>
  <c r="J125" i="9"/>
  <c r="J123" i="9" s="1"/>
  <c r="J81" i="9"/>
  <c r="J79" i="9" s="1"/>
  <c r="G26" i="15" l="1"/>
  <c r="G9" i="15"/>
  <c r="G167" i="6" s="1"/>
  <c r="H26" i="15"/>
  <c r="H9" i="15"/>
  <c r="H167" i="6" s="1"/>
  <c r="G59" i="10"/>
  <c r="G43" i="10"/>
  <c r="H32" i="10"/>
  <c r="H43" i="10" s="1"/>
  <c r="J11" i="15" s="1"/>
  <c r="H20" i="15" l="1"/>
  <c r="H27" i="15"/>
  <c r="J26" i="15"/>
  <c r="J9" i="15"/>
  <c r="J167" i="6" s="1"/>
  <c r="J7" i="14"/>
  <c r="I11" i="15"/>
  <c r="G20" i="15"/>
  <c r="G10" i="15"/>
  <c r="H10" i="15" s="1"/>
  <c r="G27" i="15"/>
  <c r="G28" i="15" s="1"/>
  <c r="H59" i="10"/>
  <c r="I32" i="10"/>
  <c r="K44" i="10"/>
  <c r="I26" i="15" l="1"/>
  <c r="I9" i="15"/>
  <c r="I167" i="6" s="1"/>
  <c r="H28" i="15"/>
  <c r="J20" i="15"/>
  <c r="J27" i="15"/>
  <c r="I59" i="10"/>
  <c r="I43" i="10"/>
  <c r="L7" i="14" l="1"/>
  <c r="K11" i="15"/>
  <c r="I20" i="15"/>
  <c r="I10" i="15"/>
  <c r="J10" i="15" s="1"/>
  <c r="I27" i="15"/>
  <c r="I28" i="15" s="1"/>
  <c r="J28" i="15" s="1"/>
  <c r="I45" i="10"/>
  <c r="K26" i="15" l="1"/>
  <c r="K9" i="15"/>
  <c r="L8" i="14" l="1"/>
  <c r="K167" i="6"/>
  <c r="K20" i="15"/>
  <c r="K10" i="15"/>
  <c r="K27" i="15"/>
  <c r="K28" i="15" s="1"/>
  <c r="O14" i="6"/>
  <c r="Q36" i="10" l="1"/>
  <c r="Q38" i="10"/>
  <c r="Q39" i="10"/>
  <c r="Q37" i="10"/>
  <c r="Q35" i="10"/>
  <c r="Q34" i="10"/>
  <c r="Q32" i="10" l="1"/>
  <c r="R35" i="10" l="1"/>
  <c r="R39" i="10"/>
  <c r="R33" i="10"/>
  <c r="R37" i="10"/>
  <c r="R36" i="10"/>
  <c r="R38" i="10"/>
  <c r="R34" i="10"/>
  <c r="G45" i="10"/>
  <c r="F45" i="10"/>
  <c r="H8" i="14" l="1"/>
  <c r="R32" i="10"/>
  <c r="H45" i="10"/>
  <c r="D45" i="10"/>
  <c r="E45" i="10"/>
  <c r="J8" i="14" l="1"/>
  <c r="O35" i="1" l="1"/>
  <c r="S26" i="1" l="1"/>
  <c r="S35" i="1" l="1"/>
  <c r="T26" i="1"/>
  <c r="D13" i="6" s="1"/>
  <c r="L13" i="6" s="1"/>
  <c r="M13" i="6" l="1"/>
  <c r="L164" i="6"/>
  <c r="L166" i="6" s="1"/>
  <c r="V26" i="1"/>
  <c r="V35" i="1" s="1"/>
  <c r="T35" i="1"/>
  <c r="U35" i="1" s="1"/>
  <c r="N13" i="6"/>
  <c r="U26" i="1"/>
  <c r="O13" i="6"/>
  <c r="O12" i="6" s="1"/>
  <c r="L12" i="6"/>
  <c r="L18" i="15" s="1"/>
  <c r="L15" i="15" s="1"/>
  <c r="L16" i="15" s="1"/>
  <c r="L23" i="15" l="1"/>
  <c r="L21" i="15" s="1"/>
  <c r="L22" i="15" s="1"/>
  <c r="N12" i="6"/>
  <c r="L24" i="6"/>
  <c r="D24" i="6" s="1"/>
  <c r="L169" i="6"/>
  <c r="AC35" i="1"/>
  <c r="AC26" i="1"/>
  <c r="L171" i="6" l="1"/>
  <c r="C171" i="6" s="1"/>
  <c r="J34" i="10" l="1"/>
  <c r="J32" i="10" s="1"/>
  <c r="S34" i="10" s="1"/>
  <c r="C60" i="10"/>
  <c r="C50" i="10"/>
  <c r="C52" i="10" s="1"/>
  <c r="K34" i="10" l="1"/>
  <c r="J43" i="10"/>
  <c r="J59" i="10"/>
  <c r="S35" i="10"/>
  <c r="S33" i="10"/>
  <c r="K32" i="10"/>
  <c r="S39" i="10"/>
  <c r="S38" i="10"/>
  <c r="S37" i="10"/>
  <c r="S36" i="10"/>
  <c r="D50" i="10"/>
  <c r="D52" i="10" s="1"/>
  <c r="D60" i="10"/>
  <c r="C53" i="10"/>
  <c r="K43" i="10" l="1"/>
  <c r="L11" i="15"/>
  <c r="J45" i="10"/>
  <c r="K45" i="10" s="1"/>
  <c r="S32" i="10"/>
  <c r="D53" i="10"/>
  <c r="E50" i="10"/>
  <c r="E52" i="10" s="1"/>
  <c r="E60" i="10"/>
  <c r="L26" i="15" l="1"/>
  <c r="L9" i="15"/>
  <c r="L167" i="6" s="1"/>
  <c r="F50" i="10"/>
  <c r="F52" i="10" s="1"/>
  <c r="F60" i="10"/>
  <c r="E53" i="10"/>
  <c r="L20" i="15" l="1"/>
  <c r="L10" i="15"/>
  <c r="L27" i="15"/>
  <c r="L28" i="15" s="1"/>
  <c r="F53" i="10"/>
  <c r="G50" i="10"/>
  <c r="G52" i="10" s="1"/>
  <c r="G60" i="10"/>
  <c r="G53" i="10" l="1"/>
  <c r="H60" i="10"/>
  <c r="H50" i="10"/>
  <c r="H52" i="10" s="1"/>
  <c r="I50" i="10" l="1"/>
  <c r="I60" i="10"/>
  <c r="H53" i="10"/>
  <c r="I52" i="10" l="1"/>
  <c r="J60" i="10"/>
  <c r="J50" i="10"/>
  <c r="J52" i="10" s="1"/>
  <c r="J53" i="10" s="1"/>
  <c r="K46" i="10"/>
  <c r="K50" i="10" l="1"/>
  <c r="K52" i="10"/>
  <c r="I53" i="10"/>
  <c r="G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Beerli Anna BLW</author>
  </authors>
  <commentList>
    <comment ref="B13" authorId="0" shapeId="0" xr:uid="{00000000-0006-0000-0200-000001000000}">
      <text>
        <r>
          <rPr>
            <sz val="14"/>
            <color indexed="81"/>
            <rFont val="Segoe UI"/>
            <family val="2"/>
          </rPr>
          <t>20% der Beiträge werden erst nach dem Schlussbericht überwiesen</t>
        </r>
      </text>
    </comment>
    <comment ref="B28" authorId="0" shapeId="0" xr:uid="{00000000-0006-0000-0200-000002000000}">
      <text>
        <r>
          <rPr>
            <sz val="14"/>
            <color indexed="81"/>
            <rFont val="Segoe UI"/>
            <family val="2"/>
          </rPr>
          <t>20% der Beiträge werden erst nach dem Schlussbericht überwiesen</t>
        </r>
      </text>
    </comment>
    <comment ref="B43" authorId="0" shapeId="0" xr:uid="{00000000-0006-0000-0200-000003000000}">
      <text>
        <r>
          <rPr>
            <sz val="14"/>
            <color indexed="81"/>
            <rFont val="Segoe UI"/>
            <family val="2"/>
          </rPr>
          <t>20% der Beiträge werden erst nach dem Schlussbericht überwiesen</t>
        </r>
      </text>
    </comment>
    <comment ref="B58" authorId="0" shapeId="0" xr:uid="{00000000-0006-0000-0200-000004000000}">
      <text>
        <r>
          <rPr>
            <sz val="14"/>
            <color indexed="81"/>
            <rFont val="Segoe UI"/>
            <family val="2"/>
          </rPr>
          <t>20% der Beiträge werden erst nach dem Schlussbericht überwiesen</t>
        </r>
      </text>
    </comment>
    <comment ref="B73" authorId="0" shapeId="0" xr:uid="{00000000-0006-0000-0200-000005000000}">
      <text>
        <r>
          <rPr>
            <sz val="14"/>
            <color indexed="81"/>
            <rFont val="Segoe UI"/>
            <family val="2"/>
          </rPr>
          <t>20% der Beiträge werden erst nach dem Schlussbericht überwiesen</t>
        </r>
      </text>
    </comment>
    <comment ref="B88" authorId="0" shapeId="0" xr:uid="{00000000-0006-0000-0200-000006000000}">
      <text>
        <r>
          <rPr>
            <sz val="14"/>
            <color indexed="81"/>
            <rFont val="Segoe UI"/>
            <family val="2"/>
          </rPr>
          <t>20% der Beiträge werden erst nach dem Schlussbericht überwiesen</t>
        </r>
      </text>
    </comment>
    <comment ref="B103" authorId="0" shapeId="0" xr:uid="{00000000-0006-0000-0200-000007000000}">
      <text>
        <r>
          <rPr>
            <sz val="14"/>
            <color indexed="81"/>
            <rFont val="Segoe UI"/>
            <family val="2"/>
          </rPr>
          <t>20% der Beiträge werden erst nach dem Schlussbericht überwiesen</t>
        </r>
      </text>
    </comment>
    <comment ref="B118" authorId="0" shapeId="0" xr:uid="{00000000-0006-0000-0200-000008000000}">
      <text>
        <r>
          <rPr>
            <sz val="14"/>
            <color indexed="81"/>
            <rFont val="Segoe UI"/>
            <family val="2"/>
          </rPr>
          <t>20% der Beiträge werden erst nach dem Schlussbericht überwiesen</t>
        </r>
      </text>
    </comment>
    <comment ref="B133" authorId="0" shapeId="0" xr:uid="{00000000-0006-0000-0200-000009000000}">
      <text>
        <r>
          <rPr>
            <sz val="14"/>
            <color indexed="81"/>
            <rFont val="Segoe UI"/>
            <family val="2"/>
          </rPr>
          <t>20% der Beiträge werden erst nach dem Schlussbericht überwiesen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Beerli Anna BLW</author>
  </authors>
  <commentList>
    <comment ref="A29" authorId="0" shapeId="0" xr:uid="{00000000-0006-0000-0500-000001000000}">
      <text>
        <r>
          <rPr>
            <b/>
            <sz val="9"/>
            <color indexed="81"/>
            <rFont val="Segoe UI"/>
            <family val="2"/>
          </rPr>
          <t>Beerli Anna BLW:</t>
        </r>
        <r>
          <rPr>
            <sz val="9"/>
            <color indexed="81"/>
            <rFont val="Segoe UI"/>
            <family val="2"/>
          </rPr>
          <t xml:space="preserve">
= Verkaufsmenge * Verkaufspreis</t>
        </r>
      </text>
    </comment>
    <comment ref="A30" authorId="0" shapeId="0" xr:uid="{00000000-0006-0000-0500-00000200000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xr:uid="{00000000-0006-0000-0500-000003000000}">
      <text>
        <r>
          <rPr>
            <b/>
            <sz val="9"/>
            <color indexed="81"/>
            <rFont val="Segoe UI"/>
            <family val="2"/>
          </rPr>
          <t>Beerli Anna BLW:</t>
        </r>
        <r>
          <rPr>
            <sz val="9"/>
            <color indexed="81"/>
            <rFont val="Segoe UI"/>
            <family val="2"/>
          </rPr>
          <t xml:space="preserve">
= Verkaufsmenge * Verkaufspreis</t>
        </r>
      </text>
    </comment>
    <comment ref="A43" authorId="0" shapeId="0" xr:uid="{00000000-0006-0000-0500-00000400000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xr:uid="{00000000-0006-0000-0500-000005000000}">
      <text>
        <r>
          <rPr>
            <b/>
            <sz val="9"/>
            <color indexed="81"/>
            <rFont val="Segoe UI"/>
            <family val="2"/>
          </rPr>
          <t>Beerli Anna BLW:</t>
        </r>
        <r>
          <rPr>
            <sz val="9"/>
            <color indexed="81"/>
            <rFont val="Segoe UI"/>
            <family val="2"/>
          </rPr>
          <t xml:space="preserve">
= Verkaufsmenge * Verkaufspreis</t>
        </r>
      </text>
    </comment>
    <comment ref="A57" authorId="0" shapeId="0" xr:uid="{00000000-0006-0000-0500-00000600000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Beerli Anna BLW</author>
  </authors>
  <commentList>
    <comment ref="U20" authorId="0" shapeId="0" xr:uid="{00000000-0006-0000-0600-000001000000}">
      <text>
        <r>
          <rPr>
            <b/>
            <sz val="9"/>
            <color indexed="81"/>
            <rFont val="Segoe UI"/>
            <family val="2"/>
          </rPr>
          <t>Beerli Anna BLW:</t>
        </r>
        <r>
          <rPr>
            <sz val="9"/>
            <color indexed="81"/>
            <rFont val="Segoe UI"/>
            <family val="2"/>
          </rPr>
          <t xml:space="preserve">
svi 6.9.: nicht abh. vom Investitionsort sondern wo die Bauern sind -&gt; mit flj klären?</t>
        </r>
      </text>
    </comment>
    <comment ref="U22" authorId="0" shapeId="0" xr:uid="{00000000-0006-0000-0600-000002000000}">
      <text>
        <r>
          <rPr>
            <b/>
            <sz val="9"/>
            <color indexed="81"/>
            <rFont val="Segoe UI"/>
            <family val="2"/>
          </rPr>
          <t>Beerli Anna BLW:</t>
        </r>
        <r>
          <rPr>
            <sz val="9"/>
            <color indexed="81"/>
            <rFont val="Segoe UI"/>
            <family val="2"/>
          </rPr>
          <t xml:space="preserve">
Standort der Investition in BZ 1 (37%), 
Standort in BZ 2-4 (40%) </t>
        </r>
      </text>
    </comment>
    <comment ref="U24" authorId="0" shapeId="0" xr:uid="{00000000-0006-0000-0600-000003000000}">
      <text>
        <r>
          <rPr>
            <b/>
            <sz val="9"/>
            <color indexed="81"/>
            <rFont val="Segoe UI"/>
            <family val="2"/>
          </rPr>
          <t>Beerli Anna BLW:</t>
        </r>
        <r>
          <rPr>
            <sz val="9"/>
            <color indexed="81"/>
            <rFont val="Segoe UI"/>
            <family val="2"/>
          </rPr>
          <t xml:space="preserve">
Standort der Investition in BZ 1 (37%), 
Standort in BZ 2-4 (40%) </t>
        </r>
      </text>
    </comment>
  </commentList>
</comments>
</file>

<file path=xl/sharedStrings.xml><?xml version="1.0" encoding="utf-8"?>
<sst xmlns="http://schemas.openxmlformats.org/spreadsheetml/2006/main" count="747" uniqueCount="416">
  <si>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</si>
  <si>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</si>
  <si>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</si>
  <si>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</si>
  <si>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</si>
  <si>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</si>
  <si>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</si>
  <si>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</si>
  <si>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</si>
  <si>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</si>
  <si>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</si>
  <si>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</si>
  <si>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</si>
  <si>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</si>
  <si>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</si>
  <si>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</si>
  <si>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</si>
  <si>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</si>
  <si>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</si>
  <si>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</si>
  <si>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Abschreibung</t>
  </si>
  <si>
    <t>Steuersatz</t>
  </si>
  <si>
    <t>Eigenkapital</t>
  </si>
  <si>
    <t>Bankdarlehen</t>
  </si>
  <si>
    <t>Investitionskredit</t>
  </si>
  <si>
    <t>Unterhalt</t>
  </si>
  <si>
    <t>unbekannte Restfinanzierung</t>
  </si>
  <si>
    <t>Zinskosten</t>
  </si>
  <si>
    <t>Finanzierungsquelle</t>
  </si>
  <si>
    <t>Investition</t>
  </si>
  <si>
    <t>Hypothek</t>
  </si>
  <si>
    <t>Beiträge Bund &amp; Kanton</t>
  </si>
  <si>
    <t>kumuliert</t>
  </si>
  <si>
    <t>Unterhalt &amp; Reparaturkosten</t>
  </si>
  <si>
    <t>Arbeitstage</t>
  </si>
  <si>
    <t>Tagesantsatz inkl. Arbeitsplatz &amp; Spesen</t>
  </si>
  <si>
    <t>Mitglieder-Beitrag an Dach-Verein PRE</t>
  </si>
  <si>
    <t>Projekt-Koordination</t>
  </si>
  <si>
    <t>Total Abschreibungen</t>
  </si>
  <si>
    <t>Total Unterhaltskosten</t>
  </si>
  <si>
    <t xml:space="preserve"> - nicht cash-wirksam</t>
  </si>
  <si>
    <t>Anteil an Gesamtkoordination</t>
  </si>
  <si>
    <t>Kosten Gesamtkoordination</t>
  </si>
  <si>
    <t>… durch PRE Dach-Verein intern</t>
  </si>
  <si>
    <t>ausserord. Aufwand</t>
  </si>
  <si>
    <t>Einheit</t>
  </si>
  <si>
    <t xml:space="preserve">… durch externer Coach </t>
  </si>
  <si>
    <t>Total Zinskosten</t>
  </si>
  <si>
    <t>n+1 = 1. PRE-Jahr</t>
  </si>
  <si>
    <t>%</t>
  </si>
  <si>
    <t>Verkaufsmenge</t>
  </si>
  <si>
    <t>jährliche Zunahme</t>
  </si>
  <si>
    <t>Einkaufsmenge</t>
  </si>
  <si>
    <t>CHF</t>
  </si>
  <si>
    <t>Marge</t>
  </si>
  <si>
    <t>Verkaufspreis</t>
  </si>
  <si>
    <t>n</t>
  </si>
  <si>
    <t>CHF / mt</t>
  </si>
  <si>
    <t>Geldabfluss für Investitionen</t>
  </si>
  <si>
    <t>Lage des Betriebs</t>
  </si>
  <si>
    <t>Verschuldungsfaktor</t>
  </si>
  <si>
    <t>Nettoergebnis kumuliert</t>
  </si>
  <si>
    <t>Nettoergebnis jährlich</t>
  </si>
  <si>
    <t>Beitragssatz Bund</t>
  </si>
  <si>
    <t>Tal</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</si>
  <si>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</si>
  <si>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</si>
  <si>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</si>
  <si>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</si>
  <si>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</si>
  <si>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</si>
  <si>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</si>
  <si>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</si>
  <si>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</si>
  <si>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</si>
  <si>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</si>
  <si>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</si>
  <si>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</si>
  <si>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</si>
  <si>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in Erfolgsrechnung übertragen</t>
  </si>
  <si>
    <t>CHF / Monat</t>
  </si>
  <si>
    <t>CHF/ Jahr</t>
  </si>
  <si>
    <t>Tage</t>
  </si>
  <si>
    <t>CHF/Tag</t>
  </si>
  <si>
    <t>Bemerkungen</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</si>
  <si>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</si>
  <si>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</si>
  <si>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</si>
  <si>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</si>
  <si>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</si>
  <si>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</si>
  <si>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</si>
  <si>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</si>
  <si>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Erläuterung der Annahmen</t>
  </si>
  <si>
    <t>Anteil am Gesamtergebnis</t>
  </si>
  <si>
    <t>automatisch aus "Mittelflussrechnung"</t>
  </si>
  <si>
    <t>ca. 15% des Bruttolohnes</t>
  </si>
  <si>
    <t>REFLEX Agridea</t>
  </si>
  <si>
    <t>Grundlagenbericht Agroscope</t>
  </si>
  <si>
    <t>Miete / Pacht / Immobilienkosten</t>
  </si>
  <si>
    <t>CHF / VZÄ pro Jahr</t>
  </si>
  <si>
    <t>VZÄ</t>
  </si>
  <si>
    <t>Geldzufluss aus Desinvestitionen</t>
  </si>
  <si>
    <t>Desinvestitionen</t>
  </si>
  <si>
    <t>Verkauf von xy</t>
  </si>
  <si>
    <t>Verkauf von yz</t>
  </si>
  <si>
    <t>Angebot 3 z.B. gemeinschaftliche Kommunikation des PRE (Marketing)</t>
  </si>
  <si>
    <t>Kosten für Kommunikation über Social Media</t>
  </si>
  <si>
    <t>CHF/Jahr</t>
  </si>
  <si>
    <t>% für Betriebszweig</t>
  </si>
  <si>
    <t>Kosten / Jahr für gesamten Betrieb</t>
  </si>
  <si>
    <t>Betrachtungseinheit der Finanzplanung</t>
  </si>
  <si>
    <t>z.B. ganzer Betrieb oder nur Betriebszweig xy</t>
  </si>
  <si>
    <t xml:space="preserve">Finanzplanung: Erfolgsrechnung </t>
  </si>
  <si>
    <t>Sensitivitätsanalyse</t>
  </si>
  <si>
    <t>Info-Quellen</t>
  </si>
  <si>
    <t>Beschäftigungsanteil für Betriebszweig</t>
  </si>
  <si>
    <t>Lohn gesamt</t>
  </si>
  <si>
    <t>Miete / Monat für gesamten Betrieb</t>
  </si>
  <si>
    <t>Aufwand / VZÄ</t>
  </si>
  <si>
    <t>Anzahl VZÄ</t>
  </si>
  <si>
    <t>Liquiditätsplanung (Cashflow) Übersicht</t>
  </si>
  <si>
    <t>2) Desinvestitionen (Verkauf)</t>
  </si>
  <si>
    <t>Erläuterungen der Annahmen</t>
  </si>
  <si>
    <t>Richtwerte BLW</t>
  </si>
  <si>
    <t>Einkaufspreis TP / Einkaufseinheit</t>
  </si>
  <si>
    <t>EPA Honorarliste</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</si>
  <si>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</si>
  <si>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</si>
  <si>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</si>
  <si>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</si>
  <si>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</si>
  <si>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</si>
  <si>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</si>
  <si>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</si>
  <si>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t>Strom, Energie- &amp; Entsorgungsaufwand</t>
  </si>
  <si>
    <t xml:space="preserve">Finanzplanung: Annahmen der Erfolgsrechnung </t>
  </si>
  <si>
    <t>Cashflow aus Investitionstätigkeit</t>
  </si>
  <si>
    <t>Cashflow aus Geschäftstätigkeit</t>
  </si>
  <si>
    <t>Cashflow aus Finanzierungstätigkeit</t>
  </si>
  <si>
    <t>Produkt 1 - Bsp. landwirtschaftliche Produktion, Verarbeitung &amp; Veredelung</t>
  </si>
  <si>
    <t>Produkt 2 - Bsp. agrotouristische Angebote</t>
  </si>
  <si>
    <t>Produkt 3 - Bsp. nicht-produktorientierte Projekte</t>
  </si>
  <si>
    <t>Investitionssumme</t>
  </si>
  <si>
    <t>Investition 1</t>
  </si>
  <si>
    <t>Investition 2</t>
  </si>
  <si>
    <t>Investition 3</t>
  </si>
  <si>
    <t>Investition 4</t>
  </si>
  <si>
    <t>allfällige Korrekturen (+ Rückstellungen)</t>
  </si>
  <si>
    <t>Veränderung der jährlichen Personalkosten</t>
  </si>
  <si>
    <t>Fahrzeug- &amp; Transportaufwand</t>
  </si>
  <si>
    <t>Wert für "x" mit Vorzeichen eingeben</t>
  </si>
  <si>
    <t>Veränderung des jährlichen Direktaufwandes um x%</t>
  </si>
  <si>
    <t>Verwaltungs- &amp; Werbeaufwand</t>
  </si>
  <si>
    <t>Bestandesänderung (+ bei Abnahme, - bei Zunahme)</t>
  </si>
  <si>
    <t>1) Investitionen &amp; Finanzierungsquelle</t>
  </si>
  <si>
    <t>Hat die Trägerschaft bereits vor PRE existiert?</t>
  </si>
  <si>
    <t>Personalaufwand - exkl. Projektkoordination</t>
  </si>
  <si>
    <t>% an Investition</t>
  </si>
  <si>
    <t>Kontrolle (Restfinanzierung = Lücke)</t>
  </si>
  <si>
    <t>nur gelbe Felder befüllen</t>
  </si>
  <si>
    <t>à fonds perdu Beiträge Dritter</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</si>
  <si>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</si>
  <si>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</si>
  <si>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</si>
  <si>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</si>
  <si>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</si>
  <si>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</si>
  <si>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</si>
  <si>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</si>
  <si>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Investition 6</t>
  </si>
  <si>
    <t>Investition 7</t>
  </si>
  <si>
    <t>Investition 8</t>
  </si>
  <si>
    <t>Reduktion der beitragsberechtigten Kosten in Prozent</t>
  </si>
  <si>
    <t>HZ / BZ I</t>
  </si>
  <si>
    <t>Cashflow aus Geschäftstätigkeit kumuliert</t>
  </si>
  <si>
    <t>Cashflow aus Investitionstätigkeit kumuliert</t>
  </si>
  <si>
    <t>Cashflow aus Finanzierungstätigkeit kumuliert</t>
  </si>
  <si>
    <t>Produktion</t>
  </si>
  <si>
    <t>Verarbeitung</t>
  </si>
  <si>
    <t>Vermarktung</t>
  </si>
  <si>
    <t>Früchte &amp; Gemüse (F &amp; G)</t>
  </si>
  <si>
    <t xml:space="preserve">F &amp; G -Verarbeitung </t>
  </si>
  <si>
    <t>Milch</t>
  </si>
  <si>
    <t>Mast</t>
  </si>
  <si>
    <t>Alp</t>
  </si>
  <si>
    <t>Pädagogische Angebote</t>
  </si>
  <si>
    <t>Erneuerbare Energien</t>
  </si>
  <si>
    <t>Vinifizierung</t>
  </si>
  <si>
    <t>Betrachtungseinheit</t>
  </si>
  <si>
    <t>Betrieb</t>
  </si>
  <si>
    <t>Betriebszweig</t>
  </si>
  <si>
    <t>ja</t>
  </si>
  <si>
    <t>nein</t>
  </si>
  <si>
    <t>PRE-Typ</t>
  </si>
  <si>
    <t>Kantonale Beteiligung am Bundesbeitrag</t>
  </si>
  <si>
    <t>Investitionskosten total</t>
  </si>
  <si>
    <t>Fleisch</t>
  </si>
  <si>
    <t>VP 2021</t>
  </si>
  <si>
    <t>umfassend</t>
  </si>
  <si>
    <t>einzel</t>
  </si>
  <si>
    <t>gemeinschaftlich</t>
  </si>
  <si>
    <t>MEL</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</si>
  <si>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</si>
  <si>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</si>
  <si>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</si>
  <si>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</si>
  <si>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</si>
  <si>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</si>
  <si>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</si>
  <si>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</si>
  <si>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</si>
  <si>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</si>
  <si>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Anteil an Investitionskosten</t>
  </si>
  <si>
    <t>Massnahmen-Nr.</t>
  </si>
  <si>
    <t>1. Jahr nach Umsetzung</t>
  </si>
  <si>
    <t>Ertrag</t>
  </si>
  <si>
    <t>Direktaufwand</t>
  </si>
  <si>
    <t>Deckungsbeitrag Produkt 1</t>
  </si>
  <si>
    <t>Deckungsbeitrag Produkt 2</t>
  </si>
  <si>
    <t>Deckungsbeitrag Produkt 3</t>
  </si>
  <si>
    <t>n+1 
(1. PRE-Jahr)</t>
  </si>
  <si>
    <t>Plan-Erfolgsrechnung Übersicht [CHF]</t>
  </si>
  <si>
    <t>...andere Einnahmen</t>
  </si>
  <si>
    <t>Deckungsbeitrag nach Personalaufwand</t>
  </si>
  <si>
    <t>Finanzierungsquellen</t>
  </si>
  <si>
    <t>Gesichert?</t>
  </si>
  <si>
    <t>sektorübergreifend</t>
  </si>
  <si>
    <t>wertschöpfungskettenorientiert</t>
  </si>
  <si>
    <t>Gemeinschaftliche Investitionen im Interesse des Gesamtprojekts</t>
  </si>
  <si>
    <t>…bitte Finanzierungsquelle auswählen</t>
  </si>
  <si>
    <t>…bitte auswählen</t>
  </si>
  <si>
    <t>Investition 9</t>
  </si>
  <si>
    <t>Darlehen von Dritten</t>
  </si>
  <si>
    <t>Total Investitionen</t>
  </si>
  <si>
    <t>Veränderung der nicht zuteilbaren Kosten um x%</t>
  </si>
  <si>
    <t>Unterhaltssatz in %:</t>
  </si>
  <si>
    <t>Indikator</t>
  </si>
  <si>
    <t>n+2 -Soll</t>
  </si>
  <si>
    <t>n+2 -Ist</t>
  </si>
  <si>
    <t>n+4 -Soll</t>
  </si>
  <si>
    <t>n+4 -Ist</t>
  </si>
  <si>
    <t>n+6-Ist</t>
  </si>
  <si>
    <t>n+6 -Soll</t>
  </si>
  <si>
    <t>Finanzplanung: Übersicht Teilprojekt Grundlagenetappe (GLE)</t>
  </si>
  <si>
    <t>Anleitung</t>
  </si>
  <si>
    <t>Aufbau eines Betriebszweiges auf dem Landwirtschaftsbetrieb</t>
  </si>
  <si>
    <t>Beitragssatz Bund definitiv</t>
  </si>
  <si>
    <t xml:space="preserve">Beitragssatz Kanton  
</t>
  </si>
  <si>
    <t>2. Annahmen</t>
  </si>
  <si>
    <t>1. Übersichtsblatt</t>
  </si>
  <si>
    <t>Zahlen aus den Annahmen in die Erfolgsrechnung übertragen</t>
  </si>
  <si>
    <t>Betrachtungseinheit: wird der gesamte Betrieb / Unternehmen in der Finanzplanung abgebildet oder nur ein Betriebszweig?</t>
  </si>
  <si>
    <t>beitragsberechtigte Kosten</t>
  </si>
  <si>
    <t>massgebende beitragsberechtigte Kosten</t>
  </si>
  <si>
    <t xml:space="preserve">min. Beteiligung des Kantons an Bundesbeitrag </t>
  </si>
  <si>
    <t>falls Schriftgrösse zu klein: bitte Seitenansicht auf 100% wechseln (unten rechts in der untersten grauen Leiste des Excel)</t>
  </si>
  <si>
    <t xml:space="preserve">nicht-beitragsberechtigte Kosten </t>
  </si>
  <si>
    <t>Total Restfinanzierung</t>
  </si>
  <si>
    <t xml:space="preserve">Einzelbetriebliche Massnahmen ökologischer Ziele </t>
  </si>
  <si>
    <t>Logistik &amp; Lagerung</t>
  </si>
  <si>
    <t>Diverses</t>
  </si>
  <si>
    <t xml:space="preserve">Gastronomie </t>
  </si>
  <si>
    <t>Alp (Milch, Mast, Stall)</t>
  </si>
  <si>
    <t>auswählen</t>
  </si>
  <si>
    <t>auswählene</t>
  </si>
  <si>
    <t>Investitionskraft aus operativer Tätigkeit (%)</t>
  </si>
  <si>
    <t>Zelle mit dropdown-Auswahl</t>
  </si>
  <si>
    <t>Trägerschaft-Typ</t>
  </si>
  <si>
    <t>Trägerschaft</t>
  </si>
  <si>
    <t>einzelbetrieblich</t>
  </si>
  <si>
    <t>Meliorationen Massnahmen</t>
  </si>
  <si>
    <t>nach Betriebslage</t>
  </si>
  <si>
    <t>Betriebslage</t>
  </si>
  <si>
    <t>Einzelbetriebliche Massnahmen ökologischer Ziele</t>
  </si>
  <si>
    <t>Kommunikation, Marketing</t>
  </si>
  <si>
    <t>Weitere Massnahmen im Interesse des Gesamtprojekts (Reduktion mind. 50%)</t>
  </si>
  <si>
    <t>Direktvermarktung</t>
  </si>
  <si>
    <t>Reben</t>
  </si>
  <si>
    <t>Weiteres</t>
  </si>
  <si>
    <t>Aufwertung der Region</t>
  </si>
  <si>
    <t>PRE-Geschäftsführung (gilt nicht als TP)</t>
  </si>
  <si>
    <t xml:space="preserve">Ausrichtung </t>
  </si>
  <si>
    <t xml:space="preserve">Projekttyp </t>
  </si>
  <si>
    <t>Personalaufwand</t>
  </si>
  <si>
    <t>(kann auch unter Direktaufwand berücksichtigt werden)</t>
  </si>
  <si>
    <t>% des Gesamtbetriebs</t>
  </si>
  <si>
    <t>% in Dezimal</t>
  </si>
  <si>
    <r>
      <t>Sachversicherungen</t>
    </r>
    <r>
      <rPr>
        <sz val="12"/>
        <rFont val="Arial Narrow"/>
        <family val="2"/>
      </rPr>
      <t xml:space="preserve"> (inkl. Betriebshaftpflicht)</t>
    </r>
  </si>
  <si>
    <r>
      <t xml:space="preserve">ANLEITUNG  
* </t>
    </r>
    <r>
      <rPr>
        <sz val="12"/>
        <rFont val="Arial Narrow"/>
        <family val="2"/>
      </rPr>
      <t xml:space="preserve">Dieses Blatt des Excel ist ein </t>
    </r>
    <r>
      <rPr>
        <b/>
        <sz val="12"/>
        <rFont val="Arial Narrow"/>
        <family val="2"/>
      </rPr>
      <t>Vorschlag / Beispiel</t>
    </r>
    <r>
      <rPr>
        <sz val="12"/>
        <rFont val="Arial Narrow"/>
        <family val="2"/>
      </rPr>
      <t xml:space="preserve">, wie die Annahmen hinter der Erfolgsrechnung skizziert werden könnten. Sie können das Format aber vollständig ändern, </t>
    </r>
    <r>
      <rPr>
        <sz val="12"/>
        <color rgb="FFFF0000"/>
        <rFont val="Arial Narrow"/>
        <family val="2"/>
      </rPr>
      <t>solange die Zahlen der Erfolgsrechnung verständlich und
schlüssig hergeleitet werden</t>
    </r>
    <r>
      <rPr>
        <sz val="12"/>
        <rFont val="Arial Narrow"/>
        <family val="2"/>
      </rPr>
      <t>.</t>
    </r>
  </si>
  <si>
    <r>
      <t>Mögliches Vorgehen zur Verwendung der Finanz- und Controllingvorlage</t>
    </r>
    <r>
      <rPr>
        <sz val="12"/>
        <rFont val="Arial Narrow"/>
        <family val="2"/>
      </rPr>
      <t xml:space="preserve">
</t>
    </r>
  </si>
  <si>
    <r>
      <t xml:space="preserve">Beitragssatz Bund </t>
    </r>
    <r>
      <rPr>
        <b/>
        <sz val="12"/>
        <color theme="1"/>
        <rFont val="Arial Narrow"/>
        <family val="2"/>
      </rPr>
      <t>ohne</t>
    </r>
    <r>
      <rPr>
        <sz val="12"/>
        <color theme="1"/>
        <rFont val="Arial Narrow"/>
        <family val="2"/>
      </rPr>
      <t xml:space="preserve"> PRE-Bonus</t>
    </r>
  </si>
  <si>
    <r>
      <t xml:space="preserve">Beitragssatz Bund </t>
    </r>
    <r>
      <rPr>
        <b/>
        <sz val="12"/>
        <color theme="1"/>
        <rFont val="Arial Narrow"/>
        <family val="2"/>
      </rPr>
      <t xml:space="preserve">mit </t>
    </r>
    <r>
      <rPr>
        <sz val="12"/>
        <color theme="1"/>
        <rFont val="Arial Narrow"/>
        <family val="2"/>
      </rPr>
      <t>PRE-Bonus</t>
    </r>
  </si>
  <si>
    <r>
      <rPr>
        <b/>
        <sz val="12"/>
        <color theme="1"/>
        <rFont val="Arial Narrow"/>
        <family val="2"/>
      </rPr>
      <t xml:space="preserve">IST-Investition </t>
    </r>
    <r>
      <rPr>
        <sz val="12"/>
        <color theme="1"/>
        <rFont val="Arial Narrow"/>
        <family val="2"/>
      </rPr>
      <t>Zwischenbericht 1</t>
    </r>
  </si>
  <si>
    <r>
      <rPr>
        <b/>
        <sz val="12"/>
        <color theme="1"/>
        <rFont val="Arial Narrow"/>
        <family val="2"/>
      </rPr>
      <t>IST-Bundesbeitrag</t>
    </r>
    <r>
      <rPr>
        <sz val="12"/>
        <color theme="1"/>
        <rFont val="Arial Narrow"/>
        <family val="2"/>
      </rPr>
      <t xml:space="preserve"> Zwischenbericht 1</t>
    </r>
  </si>
  <si>
    <r>
      <rPr>
        <b/>
        <sz val="12"/>
        <color theme="1"/>
        <rFont val="Arial Narrow"/>
        <family val="2"/>
      </rPr>
      <t>IST-Investition</t>
    </r>
    <r>
      <rPr>
        <sz val="12"/>
        <color theme="1"/>
        <rFont val="Arial Narrow"/>
        <family val="2"/>
      </rPr>
      <t xml:space="preserve"> Zwischenbericht 2</t>
    </r>
  </si>
  <si>
    <r>
      <rPr>
        <b/>
        <sz val="12"/>
        <color theme="1"/>
        <rFont val="Arial Narrow"/>
        <family val="2"/>
      </rPr>
      <t>IST-Bundesbeitrag</t>
    </r>
    <r>
      <rPr>
        <sz val="12"/>
        <color theme="1"/>
        <rFont val="Arial Narrow"/>
        <family val="2"/>
      </rPr>
      <t xml:space="preserve"> Zwischenbericht 2</t>
    </r>
  </si>
  <si>
    <r>
      <rPr>
        <b/>
        <sz val="12"/>
        <color theme="1"/>
        <rFont val="Arial Narrow"/>
        <family val="2"/>
      </rPr>
      <t>IST-Investition</t>
    </r>
    <r>
      <rPr>
        <sz val="12"/>
        <color theme="1"/>
        <rFont val="Arial Narrow"/>
        <family val="2"/>
      </rPr>
      <t xml:space="preserve"> Schlussbericht</t>
    </r>
  </si>
  <si>
    <r>
      <rPr>
        <b/>
        <sz val="12"/>
        <color theme="1"/>
        <rFont val="Arial Narrow"/>
        <family val="2"/>
      </rPr>
      <t>IST- Bundesbeitrag</t>
    </r>
    <r>
      <rPr>
        <sz val="12"/>
        <color theme="1"/>
        <rFont val="Arial Narrow"/>
        <family val="2"/>
      </rPr>
      <t xml:space="preserve"> Schlussbericht</t>
    </r>
  </si>
  <si>
    <t>Bundes-beitrag</t>
  </si>
  <si>
    <r>
      <t xml:space="preserve">Ertrag </t>
    </r>
    <r>
      <rPr>
        <sz val="12"/>
        <rFont val="Arial Narrow"/>
        <family val="2"/>
      </rPr>
      <t>(aus Verkäufen, Dienstleistungen, DZ, etc.)</t>
    </r>
  </si>
  <si>
    <r>
      <t xml:space="preserve">Direktaufwand </t>
    </r>
    <r>
      <rPr>
        <sz val="12"/>
        <rFont val="Arial Narrow"/>
        <family val="2"/>
      </rPr>
      <t>(Aufwand für Material, Waren, Drittleistungen)</t>
    </r>
  </si>
  <si>
    <t>URE (Unterhalt, Rep., Ersatz) von mobilen Sachanlagen</t>
  </si>
  <si>
    <r>
      <t>EBITDA</t>
    </r>
    <r>
      <rPr>
        <i/>
        <sz val="12"/>
        <color theme="1"/>
        <rFont val="Arial Narrow"/>
        <family val="2"/>
      </rPr>
      <t xml:space="preserve"> (Ergebnis vor Abschreibungen, Zinsen &amp; Steuern)</t>
    </r>
  </si>
  <si>
    <r>
      <t xml:space="preserve">EBIT </t>
    </r>
    <r>
      <rPr>
        <i/>
        <sz val="12"/>
        <color theme="1"/>
        <rFont val="Arial Narrow"/>
        <family val="2"/>
      </rPr>
      <t>(Ergebnis vor Zinsen und Steuern)</t>
    </r>
  </si>
  <si>
    <r>
      <t xml:space="preserve">EBT </t>
    </r>
    <r>
      <rPr>
        <i/>
        <sz val="12"/>
        <color theme="1"/>
        <rFont val="Arial Narrow"/>
        <family val="2"/>
      </rPr>
      <t>(Ergebnis vor Steuern)</t>
    </r>
  </si>
  <si>
    <t>Beitrag Gemeinde</t>
  </si>
  <si>
    <t>Mühlen</t>
  </si>
  <si>
    <t>Ackerbau (inkl. Getreidesammelstellen)</t>
  </si>
  <si>
    <t>Talgebiet: Gemeinschaftliche Verarbeitung, Lagerung und Vermarktung regionaler landwirtschaftlicher Erzeugnisse</t>
  </si>
  <si>
    <t>Berggebiet</t>
  </si>
  <si>
    <t>Talgebiet</t>
  </si>
  <si>
    <t>Massnahmenabzug</t>
  </si>
  <si>
    <t>Beitrag</t>
  </si>
  <si>
    <t>HZ: Gemeinschaftliche Verarbeitung, Lagerung und Vermarktung regionaler landwirtschaftlicher Erzeugnisse</t>
  </si>
  <si>
    <t>BZ: Gemeinschaftliche Verarbeitung, Lagerung und Vermarktung regionaler landwirtschaftlicher Erzeugnisse</t>
  </si>
  <si>
    <t>Beitrag Total</t>
  </si>
  <si>
    <t>Ursprung des Rohstoffs %</t>
  </si>
  <si>
    <t>Szenario 1: Investition in BZ 1</t>
  </si>
  <si>
    <t>Szenario 2: Investition in BZ 2-4</t>
  </si>
  <si>
    <t>Szenario 4: keine Ursprungsdifferenzierung</t>
  </si>
  <si>
    <t>Differenz zu Szenario 4 (wie heute) %</t>
  </si>
  <si>
    <t>Verkauf</t>
  </si>
  <si>
    <t>Verarbeitung &amp; Lagerung</t>
  </si>
  <si>
    <r>
      <t xml:space="preserve">Agrotourismus: Übernachtung, Gastronomie, </t>
    </r>
    <r>
      <rPr>
        <sz val="9"/>
        <color rgb="FFFF0000"/>
        <rFont val="Arial Narrow"/>
        <family val="2"/>
      </rPr>
      <t>Erlebnisse</t>
    </r>
  </si>
  <si>
    <t>Aufbau_Weiterentwicklung_Betriebszweig_auf_LW_Betrieb</t>
  </si>
  <si>
    <t>Ursprung</t>
  </si>
  <si>
    <r>
      <t xml:space="preserve">Beitragssatz inkl. Bonus </t>
    </r>
    <r>
      <rPr>
        <sz val="10"/>
        <rFont val="Arial Narrow"/>
        <family val="2"/>
      </rPr>
      <t>(abh. von Zone der Investition)</t>
    </r>
  </si>
  <si>
    <t>Szenario 3: (&gt;50%) -&gt; nur BZ beitragsberechtigt, Investitionsort nicht relevant</t>
  </si>
  <si>
    <t xml:space="preserve">Szenario 4: (&lt;50%)-&gt; alles gemäss PRE, Investition in BZ I  </t>
  </si>
  <si>
    <t>Berggebiet (40%)</t>
  </si>
  <si>
    <t>Szenario 5: (&lt;50%)-&gt; alles gemäss PRE, Investition in Tal</t>
  </si>
  <si>
    <t>Fazit</t>
  </si>
  <si>
    <t>Szenario x vs. Szenario 1 (%)</t>
  </si>
  <si>
    <t>geht nicht, weil sie dann mehr kriegen wie wenn &gt;50% aus dem Berggebiet kommt</t>
  </si>
  <si>
    <t>kompliziert für Projektträger</t>
  </si>
  <si>
    <t>wenn Investition in BZ 2-4</t>
  </si>
  <si>
    <t>mehr als Hochbau (Szenario 3)</t>
  </si>
  <si>
    <t>BZ II - IV, Sömmerungsgebiet</t>
  </si>
  <si>
    <t>Berg- oder Sömmerungsgebiet</t>
  </si>
  <si>
    <t>Hügel</t>
  </si>
  <si>
    <r>
      <t xml:space="preserve">Kantonsbeitrag </t>
    </r>
    <r>
      <rPr>
        <b/>
        <sz val="12"/>
        <color theme="1"/>
        <rFont val="Arial Narrow"/>
        <family val="2"/>
      </rPr>
      <t>ohne</t>
    </r>
    <r>
      <rPr>
        <sz val="12"/>
        <color theme="1"/>
        <rFont val="Arial Narrow"/>
        <family val="2"/>
      </rPr>
      <t xml:space="preserve"> PRE-Bonus</t>
    </r>
  </si>
  <si>
    <t>Kantons-beitrag mit PRE-Bonus</t>
  </si>
  <si>
    <t>Herkunft Rohstoff</t>
  </si>
  <si>
    <t>…bitte Herkunft auswählen</t>
  </si>
  <si>
    <t>Alpgebäude</t>
  </si>
  <si>
    <t>% Anteil der Herkunft an gesamter verarbeiteter Menge</t>
  </si>
  <si>
    <t>Typ</t>
  </si>
  <si>
    <t xml:space="preserve">Massnahme 
</t>
  </si>
  <si>
    <r>
      <t>Lage des Betriebs = Rohstoffherkunft</t>
    </r>
    <r>
      <rPr>
        <sz val="12"/>
        <rFont val="Arial Narrow"/>
        <family val="2"/>
      </rPr>
      <t xml:space="preserve">
(Art. 19f, Abs. 4 SVV)</t>
    </r>
  </si>
  <si>
    <r>
      <t xml:space="preserve">Herkunft des verarbeiteten regionalen Rohstoffs </t>
    </r>
    <r>
      <rPr>
        <sz val="12"/>
        <rFont val="Arial Narrow"/>
        <family val="2"/>
      </rPr>
      <t>(Art. 19, Abs. 6 SVV)</t>
    </r>
  </si>
  <si>
    <t>Bundesbeitrag</t>
  </si>
  <si>
    <t>Kantonsbeitrag mit PRE-Bonus</t>
  </si>
  <si>
    <t>Rohstoffherkunf: Hügelzone</t>
  </si>
  <si>
    <t>Rohstoffherkunft: Talgebiet</t>
  </si>
  <si>
    <t>Preis</t>
  </si>
  <si>
    <t>Menge</t>
  </si>
  <si>
    <t>Kosten
n = Vorjahr</t>
  </si>
  <si>
    <t>Menge 
n = Vorjahr</t>
  </si>
  <si>
    <t>Umsatz</t>
  </si>
  <si>
    <t>EBITDA</t>
  </si>
  <si>
    <t xml:space="preserve"> </t>
  </si>
  <si>
    <t>Stellenprozente</t>
  </si>
  <si>
    <t>Stunden</t>
  </si>
  <si>
    <t>Gesamter Betrieb</t>
  </si>
  <si>
    <t>Verarbeitung und Vermarktung</t>
  </si>
  <si>
    <t>Aufbau und Weiterentwicklung Betriebszweig auf LW Betrieb &amp; Produktion</t>
  </si>
  <si>
    <t xml:space="preserve">  </t>
  </si>
  <si>
    <t>alle Jahre ausfüllen</t>
  </si>
  <si>
    <t>Einzelbetriebliche Verarbeitung Kleingewerbe</t>
  </si>
  <si>
    <t>Zins (%)</t>
  </si>
  <si>
    <t>Zusammenzug Finanzierungsquellen</t>
  </si>
  <si>
    <t>Total Fremdkapital</t>
  </si>
  <si>
    <t>Controlling &amp; Monitoring</t>
  </si>
  <si>
    <t>Teilprojekt (TP)</t>
  </si>
  <si>
    <t>Ausrichtung</t>
  </si>
  <si>
    <t>Projekttyp</t>
  </si>
  <si>
    <t>Messeinheit</t>
  </si>
  <si>
    <t>Ausgangs-wert</t>
  </si>
  <si>
    <t>Resultat vor Zinsen, Steuern, Abschreibungen (aus der Erfolgsrechnung)</t>
  </si>
  <si>
    <t>Total Finanzierung</t>
  </si>
  <si>
    <t xml:space="preserve">Geldzufluss aus Finanzierung (inkl. Rückzahlung) </t>
  </si>
  <si>
    <t>Geldabfluss aus Finanzierungskosten (Zinsen)</t>
  </si>
  <si>
    <t>Monetäre Flüsse pro Jahr inkl. Investitionstätigkeit</t>
  </si>
  <si>
    <t>Monetäre Flüsse kumuliert (inkl. Investitionstätigkeit)</t>
  </si>
  <si>
    <t>Monetäre Flüsse pro Jahr aus operativem Geschäft + Kosten der Finanzierung</t>
  </si>
  <si>
    <t>Herleitung der Annahmen zur Erfolgsrechnung bzw. Geschäftsverlauf (Format kann frei gewählt werden)</t>
  </si>
  <si>
    <t>Projektkategorisierung wählen, Beitragsberechnung ausfüllen</t>
  </si>
  <si>
    <t>öffentliche Beiträge aus der Beitragsberechnung übernehmen</t>
  </si>
  <si>
    <t>5. CME ausfüllen</t>
  </si>
  <si>
    <t>Produkt 1</t>
  </si>
  <si>
    <t>Produkt 2</t>
  </si>
  <si>
    <t>Produkt 3</t>
  </si>
  <si>
    <t xml:space="preserve">Indikatoren überprüfen und fehlende Werte ergänzen </t>
  </si>
  <si>
    <t>A) Finanzierungsübersicht inkl. Berechnung der öffentlichen Beiträge</t>
  </si>
  <si>
    <t>Betrag total im 1. Jahr nach Umsetzung</t>
  </si>
  <si>
    <t>jährlich</t>
  </si>
  <si>
    <t>Zinsen</t>
  </si>
  <si>
    <t>Datum n</t>
  </si>
  <si>
    <r>
      <t xml:space="preserve">- bei Massnahmen zur </t>
    </r>
    <r>
      <rPr>
        <b/>
        <sz val="14"/>
        <rFont val="Arial Narrow"/>
        <family val="2"/>
      </rPr>
      <t>gemeinschaftlichen Verarbeitung</t>
    </r>
    <r>
      <rPr>
        <sz val="14"/>
        <rFont val="Arial Narrow"/>
        <family val="2"/>
      </rPr>
      <t xml:space="preserve">: bitte in Abschnitt B) "Beitragsberechnung gemeinschaftliche Verarbeitung" verwenden und die blau eingefärbten Zellen hier übertragen
- zur Berechnung der Investitionshilfen von </t>
    </r>
    <r>
      <rPr>
        <b/>
        <sz val="14"/>
        <rFont val="Arial Narrow"/>
        <family val="2"/>
      </rPr>
      <t>Hochbaumassnahmen</t>
    </r>
    <r>
      <rPr>
        <sz val="14"/>
        <rFont val="Arial Narrow"/>
        <family val="2"/>
      </rPr>
      <t xml:space="preserve"> können die Berechnungsformulare des Hochbaus beigezogen werden: Nr. 41, 47, 73 (online verfügbar) --&gt; bitte Kantonsbeitrag in Spalte "Kantonsbeitrag ohne PRE-Bonus" übertragen und Berechnungsformular </t>
    </r>
  </si>
  <si>
    <t>Jahr</t>
  </si>
  <si>
    <t>B) Beitragsberechnung gemeinschaftliche Verarbeitung, Lagerung und Vermarktung regionaler landwirtschaftlicher Erzeugnisse</t>
  </si>
  <si>
    <r>
      <t xml:space="preserve">Das Controlling- &amp; Monitoring (CME) dient den Projektträgern als Steuerungs- und Überprüfungsinstrument um die Soll- und Ist-Werte zu vergleichen und Abweichungen zu interpretieren. Abhängig von der Auswahl im Blatt 'Übersicht TP' bezüglich Ausrichtung, Projekttyp und Betrieb/Betriebszweig werden in diesem Blatt die für das Teilprojekt obligatorischen Indikatoren aufgelistet. Falls der Betrieb/ Unternehmen bereits besteht, muss ein Ausgangswert angegeben werden. </t>
    </r>
    <r>
      <rPr>
        <sz val="12"/>
        <rFont val="Arial Narrow"/>
        <family val="2"/>
      </rPr>
      <t>In der Spalte N steht geschrieben, ob die Werte nur im letzten Jahr (n+6) oder in jedem Berichtsjahr (alle 2 Jahre) erhoben werden sollen</t>
    </r>
    <r>
      <rPr>
        <sz val="12"/>
        <color theme="1"/>
        <rFont val="Arial Narrow"/>
        <family val="2"/>
      </rPr>
      <t xml:space="preserve">. Die Preis- und Mengendaten aus der Erfolgsrechnung werden hier automatisch in das CME-Raster eingefügt. Für zusätzliche Produkte müssen diese Daten manuell in das CME-Raster eingegeben werden. Zusätzlich können freiwillig weitere Indikatoren aufgeführt werden (im Bereich Umwelt, Aufwertung der Region und soziale Entwicklungen). Besonders wichtig ist die Spalte G. Dort soll die Ausgangslage des jeweiligen Indikators angegeben werden </t>
    </r>
    <r>
      <rPr>
        <b/>
        <sz val="12"/>
        <color theme="1"/>
        <rFont val="Arial Narrow"/>
        <family val="2"/>
      </rPr>
      <t>vor</t>
    </r>
    <r>
      <rPr>
        <sz val="12"/>
        <color theme="1"/>
        <rFont val="Arial Narrow"/>
        <family val="2"/>
      </rPr>
      <t xml:space="preserve"> Start in die Umsetzungsphase. Im Excel "Kostenübersicht und CME Grundlagenetappe" sollen die CME-Informationen aller Teilprojekte des PRE zusammengeführt und mit dem Zwischen-/Schlussbericht aktualisiert und beim BLW eingereicht werden. </t>
    </r>
  </si>
  <si>
    <t>Kontrolle mit Beitragsberechnung</t>
  </si>
  <si>
    <t>Controlling- &amp; Monitoring der Kosten</t>
  </si>
  <si>
    <t>Finanzplanung: Finanzierungsplanung</t>
  </si>
  <si>
    <r>
      <t>*</t>
    </r>
    <r>
      <rPr>
        <sz val="12"/>
        <rFont val="Arial Narrow"/>
        <family val="2"/>
      </rPr>
      <t>Diese Tabelle wird automatisch mit den Informationen aus der Tabelle "Finanzierungsquellen" ausgefüllt. Falls zusätzliche Liquiditätsänderungen zu erwarten sind, können sie in den gelb hinterlegten Zellen berücksichtigt werden.</t>
    </r>
  </si>
  <si>
    <t>Finanzplanung: Cashflow-Übersicht</t>
  </si>
  <si>
    <r>
      <rPr>
        <b/>
        <sz val="12"/>
        <color theme="7" tint="-0.249977111117893"/>
        <rFont val="Arial Narrow"/>
        <family val="2"/>
      </rPr>
      <t>Allgemeine Bemerkungen</t>
    </r>
    <r>
      <rPr>
        <b/>
        <sz val="12"/>
        <rFont val="Arial Narrow"/>
        <family val="2"/>
      </rPr>
      <t xml:space="preserve">
* Detailliertere Erläuterungen finden sich in den jeweiligen Tabellenblättern.
* Hinweis: </t>
    </r>
    <r>
      <rPr>
        <sz val="12"/>
        <rFont val="Arial Narrow"/>
        <family val="2"/>
      </rPr>
      <t xml:space="preserve">Die Tabellenblätter "Übersicht TP", "Erfolgsrechnung", "Finanzierung", "Cashflow Übersicht" und "CME" müssen verwendet werden. Die Herleitung der Erfolgsrechnung, d.h. die Annahmen die hinter den Zahlen stehen, müssen gut und einfach nachvollziehbar sein für die Prüfung. Das Blatt "Beispiel Annahmen ist ein </t>
    </r>
    <r>
      <rPr>
        <b/>
        <sz val="12"/>
        <rFont val="Arial Narrow"/>
        <family val="2"/>
      </rPr>
      <t xml:space="preserve">Beispiel </t>
    </r>
    <r>
      <rPr>
        <sz val="12"/>
        <rFont val="Arial Narrow"/>
        <family val="2"/>
      </rPr>
      <t xml:space="preserve">wie diese Herleitung aussehen könnte, es kann aber abgeändert und individuell gestaltet werden. 
* </t>
    </r>
    <r>
      <rPr>
        <b/>
        <sz val="12"/>
        <rFont val="Arial Narrow"/>
        <family val="2"/>
      </rPr>
      <t>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
</t>
    </r>
  </si>
  <si>
    <t>4. Finanzierung, Cashflow Übersicht</t>
  </si>
  <si>
    <t>3. Erfolgsrechnung</t>
  </si>
  <si>
    <r>
      <rPr>
        <sz val="12"/>
        <rFont val="Arial Narrow"/>
        <family val="2"/>
      </rPr>
      <t xml:space="preserve">* </t>
    </r>
    <r>
      <rPr>
        <b/>
        <sz val="12"/>
        <rFont val="Arial Narrow"/>
        <family val="2"/>
      </rPr>
      <t>Excel-Blatt vollständig öffnen:</t>
    </r>
    <r>
      <rPr>
        <sz val="12"/>
        <rFont val="Arial Narrow"/>
        <family val="2"/>
      </rPr>
      <t xml:space="preserve"> durch Klick auf die "+"-Zeichen im linken grauen Rand des Excels (links neben den Zeilennummern) können Sie das ganze Blatt öffnen bzw. mit dem "-"-Zeichen wieder schliessen
* Falls der Betrieb/ Unternehmen bereits besteht, </t>
    </r>
    <r>
      <rPr>
        <b/>
        <sz val="12"/>
        <rFont val="Arial Narrow"/>
        <family val="2"/>
      </rPr>
      <t>muss ein Vorjahreswert</t>
    </r>
    <r>
      <rPr>
        <sz val="12"/>
        <rFont val="Arial Narrow"/>
        <family val="2"/>
      </rPr>
      <t xml:space="preserve"> angegeben werden (n = Vorjahr)
* In Zeile 8 die Bezeichnungen (n, n+1 usw.) durch die tatsächlichen Jahre des PRE ersetzen. Beginnen Sie mit dem Jahr vor der Durchführung des PRE (Zelle C8). Anschließend für die folgenden Jahre (Zellen D8 bis J8) ebenso verfahren.
* </t>
    </r>
    <r>
      <rPr>
        <b/>
        <sz val="12"/>
        <rFont val="Arial Narrow"/>
        <family val="2"/>
      </rPr>
      <t>Bitte übertragen</t>
    </r>
    <r>
      <rPr>
        <sz val="12"/>
        <rFont val="Arial Narrow"/>
        <family val="2"/>
      </rPr>
      <t xml:space="preserve"> Sie die Mengen- und Preisannahmen in die Erfolgsrechnung (Spalten L-O)
</t>
    </r>
    <r>
      <rPr>
        <sz val="12"/>
        <color rgb="FFFF0000"/>
        <rFont val="Arial Narrow"/>
        <family val="2"/>
      </rPr>
      <t>* Die Informationen über die Preise und Mengen sind wichtig zur Abschätzung der zusätzlichen Wertschöpfung und werden automatisch direkt im CME-Raster aufgeführt.</t>
    </r>
    <r>
      <rPr>
        <sz val="12"/>
        <rFont val="Arial Narrow"/>
        <family val="2"/>
      </rPr>
      <t xml:space="preserve">
</t>
    </r>
  </si>
  <si>
    <r>
      <rPr>
        <b/>
        <sz val="12"/>
        <color theme="7" tint="-0.249977111117893"/>
        <rFont val="Arial Narrow"/>
        <family val="2"/>
      </rPr>
      <t>*Zusätzliche Erklärungen zu PRE-Typ, Ausrichtung und Projekttyp:</t>
    </r>
    <r>
      <rPr>
        <sz val="12"/>
        <rFont val="Arial Narrow"/>
        <family val="2"/>
      </rPr>
      <t xml:space="preserve">
</t>
    </r>
    <r>
      <rPr>
        <b/>
        <sz val="12"/>
        <rFont val="Arial Narrow"/>
        <family val="2"/>
      </rPr>
      <t>PRE-Typ:</t>
    </r>
    <r>
      <rPr>
        <sz val="12"/>
        <rFont val="Arial Narrow"/>
        <family val="2"/>
      </rPr>
      <t xml:space="preserve"> entweder wertschöpfungskettenorientiert oder sektorübergreifend gemäss SVV
</t>
    </r>
    <r>
      <rPr>
        <b/>
        <sz val="12"/>
        <rFont val="Arial Narrow"/>
        <family val="2"/>
      </rPr>
      <t>Ausrichtung und Projekttyp</t>
    </r>
    <r>
      <rPr>
        <sz val="12"/>
        <rFont val="Arial Narrow"/>
        <family val="2"/>
      </rPr>
      <t>: Bei PRE-Projekten wird zwischen 5 verschiedenen Ausrichtungen und ihren Projekttypen unterschieden. Ein PRE muss mind. 3 Teilprojekte unterschiedlicher Ausrichtung aufweisen, wobei die "PRE Geschäftsführung" nicht als eigenständiges Teilprojekt gilt. Teilprojekte deren Trägerschaft einzelbetrieblich auf einem Landwirtschaftsbetrieb ist, wählen die Ausrichtung «Aufbau &amp; Weiterentwicklung Betriebszweig auf LW-Betrieb». Alle übrigen Trägerschaften wählen jene Ausrichtung und Projekttyp welche die geplante Investition, die u.a. mit der öffentlichen Finanzierung getätigt wird, am besten umschreibt. Falls ein TP Investitionen in mehrere Projekttypen aufweist, soll der umsatzstärkste Typ angegeben werden.
1. Produktion: Früchte &amp; Gemüse, Ackerbau (inkl. Getreidesammelstellen), Wein, Milch, Mast, Alp (Milch, Mast, Stall), Diverses
2. Verarbeitung: F&amp;G-Verarbeitung, Mühlen, Vinifizierung, Milch, Fleisch, Alp, Diverses
3. Vermarktung: Verkauf, Logistik &amp; Lagerung, Gastronomie, Kommunikation / Marketing, Diverses
4. Aufbau &amp; Weiterentwicklung Betriebszweig auf LW-Betrieb: Agrotourismus (Übernachtung, Gastronomie, Erlebnisse), Direktvermarktung, Pädagogische Angebote, Erneuerbare Energien, Diverses
5. Weiteres: Aufwertung der Region,  PRE-Geschäftsführung (gilt nicht als TP)</t>
    </r>
  </si>
  <si>
    <t>Rohstoffherkunft: Berggebiet I-IV (exkl. Sömmerungsgebiet -&gt; Pauschalen)</t>
  </si>
  <si>
    <r>
      <t xml:space="preserve">- diese Berechnung ist NUR für die gemeinschaftliche Verarbeitung, Lagerung und Vermarktung auszufüllen
- 1 Zeile pro Rohstoffherkunft ausfüllen
- blau eingefärbte Zellen der Resultate-Zeile in die Tabelle A) "Finanzierungsübersicht inkl. Berechnung der öffentlichen Beiträge" im Excel-Blatt "Übersicht TP" ergänzen (dort muss in der Spalte C nichts ausgewählt werden)
- </t>
    </r>
    <r>
      <rPr>
        <b/>
        <sz val="14"/>
        <color rgb="FF00B050"/>
        <rFont val="Arial Narrow"/>
        <family val="2"/>
      </rPr>
      <t>Sömmerungsgebiet</t>
    </r>
    <r>
      <rPr>
        <sz val="14"/>
        <rFont val="Arial Narrow"/>
        <family val="2"/>
      </rPr>
      <t>: für die Berechnung der Beiträge werden Pauschalen verwendet --&gt; bitte Hochbauvorlage verwenden (siehe Art. 19 Abs. 6 SVV, Weisungen).</t>
    </r>
  </si>
  <si>
    <r>
      <t>* Excel-Blatt vollständig öffnen</t>
    </r>
    <r>
      <rPr>
        <sz val="12"/>
        <rFont val="Arial Narrow"/>
        <family val="2"/>
      </rPr>
      <t xml:space="preserve">: durch Klick auf die "+"-Zeichen im linken grauen Rand des Excels (links neben den Zeilennummern) können Sie die Berechnungen der 1)-2) öffnen bzw. mit dem "-"-Zeichen wieder schliessen 
* Die Informationen aus dieser Tabelle werden automatisch in den Tab "Cashflow-Übersicht" übertragen.
</t>
    </r>
    <r>
      <rPr>
        <b/>
        <sz val="12"/>
        <rFont val="Arial Narrow"/>
        <family val="2"/>
      </rPr>
      <t>1) Investitionen</t>
    </r>
    <r>
      <rPr>
        <sz val="12"/>
        <rFont val="Arial Narrow"/>
        <family val="2"/>
      </rPr>
      <t xml:space="preserve">: Investitionsbetrag einfügen und die Finanzierungsquelle auswählen sowie Abschreibungssatz, Zins und Unterhaltsrate angeben. Für jede Finanzierungsquelle sind neue Geldzuflüsse (+) und Rückzahlungen (-) pro Jahr anzugeben; bitte Rückzahlungen mit einem Minuszeichen in der Zeile der entsprechenden Finanzierungsquelle eingeben (z.B. -20'000). --&gt; </t>
    </r>
    <r>
      <rPr>
        <b/>
        <sz val="12"/>
        <rFont val="Arial Narrow"/>
        <family val="2"/>
      </rPr>
      <t>Achtung:</t>
    </r>
    <r>
      <rPr>
        <sz val="12"/>
        <rFont val="Arial Narrow"/>
        <family val="2"/>
      </rPr>
      <t xml:space="preserve"> 20% der öffentlichen Beiträge werden erst im letzten Jahr, nach der Schlussabrechnung ausbezahlt. D.h. dieser Anteil muss durch eine andere Finanzierungsquelle vorfinanziert werden, und kann im letzten Jahr wieder rückbezahlt werden. Allenfalls kann für diesen Betrag beim Kanton ein Konsolidierungskredit beantragt werden. Für die Investitionsanteile die mit Beiträgen finanziert werden, müssen keine Abschreibungen berechnet werden.
</t>
    </r>
    <r>
      <rPr>
        <b/>
        <sz val="12"/>
        <rFont val="Arial Narrow"/>
        <family val="2"/>
      </rPr>
      <t xml:space="preserve">2) Desinvestition: </t>
    </r>
    <r>
      <rPr>
        <sz val="12"/>
        <rFont val="Arial Narrow"/>
        <family val="2"/>
      </rPr>
      <t>Verkauf von Anlagen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</si>
</sst>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43" x14ac:knownFonts="1">
    <font>
      <sz val="11"/>
      <color theme="1"/>
      <name val="Arial"/>
      <family val="2"/>
    </font>
    <font>
      <sz val="11"/>
      <color theme="1"/>
      <name val="Arial"/>
      <family val="2"/>
    </font>
    <font>
      <sz val="11"/>
      <color theme="1"/>
      <name val="Arial Narrow"/>
      <family val="2"/>
    </font>
    <font>
      <sz val="1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4"/>
      <color theme="1"/>
      <name val="Arial Narrow"/>
      <family val="2"/>
    </font>
    <font>
      <sz val="11"/>
      <color theme="1"/>
      <name val="Frutiger 45"/>
      <family val="2"/>
    </font>
    <font>
      <sz val="16"/>
      <color theme="1"/>
      <name val="Arial Narrow"/>
      <family val="2"/>
    </font>
    <font>
      <sz val="12"/>
      <color rgb="FF7030A0"/>
      <name val="Arial Narrow"/>
      <family val="2"/>
    </font>
    <font>
      <b/>
      <sz val="14"/>
      <name val="Arial Narrow"/>
      <family val="2"/>
    </font>
    <font>
      <sz val="9"/>
      <color theme="1"/>
      <name val="Arial Narrow"/>
      <family val="2"/>
    </font>
    <font>
      <sz val="12"/>
      <color theme="1"/>
      <name val="Arial Narrow"/>
      <family val="2"/>
    </font>
    <font>
      <sz val="14"/>
      <name val="Arial Narrow"/>
      <family val="2"/>
    </font>
    <font>
      <b/>
      <sz val="16"/>
      <name val="Arial Narrow"/>
      <family val="2"/>
    </font>
    <font>
      <sz val="9"/>
      <color rgb="FF000000"/>
      <name val="Arial Narrow"/>
      <family val="2"/>
    </font>
    <font>
      <sz val="14"/>
      <color indexed="81"/>
      <name val="Segoe UI"/>
      <family val="2"/>
    </font>
    <font>
      <sz val="12"/>
      <color theme="1"/>
      <name val="Arial"/>
      <family val="2"/>
    </font>
    <font>
      <b/>
      <sz val="12"/>
      <color rgb="FFFF0000"/>
      <name val="Arial Narrow"/>
      <family val="2"/>
    </font>
    <font>
      <b/>
      <i/>
      <sz val="12"/>
      <color theme="1"/>
      <name val="Arial Narrow"/>
      <family val="2"/>
    </font>
    <font>
      <sz val="12"/>
      <color rgb="FF00B050"/>
      <name val="Arial Narrow"/>
      <family val="2"/>
    </font>
    <font>
      <i/>
      <sz val="12"/>
      <name val="Arial Narrow"/>
      <family val="2"/>
    </font>
    <font>
      <b/>
      <sz val="12"/>
      <color theme="7" tint="-0.249977111117893"/>
      <name val="Arial Narrow"/>
      <family val="2"/>
    </font>
    <font>
      <b/>
      <sz val="12"/>
      <color theme="1"/>
      <name val="Arial"/>
      <family val="2"/>
    </font>
    <font>
      <b/>
      <sz val="12"/>
      <color indexed="8"/>
      <name val="Arial Narrow"/>
      <family val="2"/>
    </font>
    <font>
      <sz val="12"/>
      <color theme="1"/>
      <name val="Frutiger 45"/>
      <family val="2"/>
    </font>
    <font>
      <sz val="12"/>
      <color indexed="8"/>
      <name val="Arial Narrow"/>
      <family val="2"/>
    </font>
    <font>
      <b/>
      <sz val="16"/>
      <color theme="1"/>
      <name val="Arial Narrow"/>
      <family val="2"/>
    </font>
    <font>
      <i/>
      <sz val="12"/>
      <color theme="1"/>
      <name val="Arial Narrow"/>
      <family val="2"/>
    </font>
    <font>
      <sz val="11"/>
      <color rgb="FF7030A0"/>
      <name val="Arial Narrow"/>
      <family val="2"/>
    </font>
    <font>
      <b/>
      <sz val="11"/>
      <name val="Arial Narrow"/>
      <family val="2"/>
    </font>
    <font>
      <b/>
      <sz val="10"/>
      <name val="Arial Narrow"/>
      <family val="2"/>
    </font>
    <font>
      <sz val="9"/>
      <color rgb="FFFF0000"/>
      <name val="Arial Narrow"/>
      <family val="2"/>
    </font>
    <font>
      <b/>
      <sz val="11"/>
      <color theme="1"/>
      <name val="Arial"/>
      <family val="2"/>
    </font>
    <font>
      <sz val="28"/>
      <color theme="1"/>
      <name val="Frutiger 45"/>
      <family val="2"/>
    </font>
    <font>
      <sz val="10"/>
      <color theme="1"/>
      <name val="Arial Narrow"/>
      <family val="2"/>
    </font>
    <font>
      <b/>
      <sz val="14"/>
      <color rgb="FF00B050"/>
      <name val="Arial Narrow"/>
      <family val="2"/>
    </font>
  </fonts>
  <fills count="11">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DDEBF7"/>
        <bgColor indexed="64"/>
      </patternFill>
    </fill>
    <fill>
      <patternFill patternType="solid">
        <fgColor theme="4" tint="0.59999389629810485"/>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otted">
        <color indexed="64"/>
      </left>
      <right style="medium">
        <color indexed="64"/>
      </right>
      <top style="thin">
        <color indexed="64"/>
      </top>
      <bottom style="thin">
        <color indexed="64"/>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
      <left style="dotted">
        <color indexed="64"/>
      </left>
      <right/>
      <top/>
      <bottom style="dotted">
        <color indexed="64"/>
      </bottom>
      <diagonal/>
    </border>
    <border>
      <left/>
      <right style="medium">
        <color indexed="64"/>
      </right>
      <top style="thin">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ck">
        <color theme="7" tint="0.79998168889431442"/>
      </left>
      <right/>
      <top style="thin">
        <color indexed="64"/>
      </top>
      <bottom/>
      <diagonal/>
    </border>
    <border>
      <left/>
      <right style="medium">
        <color indexed="64"/>
      </right>
      <top style="thin">
        <color indexed="64"/>
      </top>
      <bottom style="thin">
        <color indexed="64"/>
      </bottom>
      <diagonal/>
    </border>
    <border>
      <left style="thin">
        <color auto="1"/>
      </left>
      <right style="medium">
        <color auto="1"/>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ck">
        <color theme="7" tint="0.79995117038483843"/>
      </right>
      <top style="thin">
        <color indexed="64"/>
      </top>
      <bottom style="thick">
        <color theme="7" tint="0.79995117038483843"/>
      </bottom>
      <diagonal/>
    </border>
  </borders>
  <cellStyleXfs count="5">
    <xf numFmtId="0" fontId="0" fillId="0" borderId="0"/>
    <xf numFmtId="9" fontId="1" fillId="0" borderId="0" applyFont="0" applyFill="0" applyBorder="0" applyAlignment="0" applyProtection="0"/>
    <xf numFmtId="0" fontId="1" fillId="8" borderId="49" applyNumberFormat="0" applyFont="0" applyAlignment="0" applyProtection="0"/>
    <xf numFmtId="0" fontId="1" fillId="7" borderId="0" applyNumberFormat="0" applyBorder="0" applyAlignment="0" applyProtection="0"/>
    <xf numFmtId="0" fontId="13" fillId="0" borderId="0"/>
  </cellStyleXfs>
  <cellXfs count="781">
    <xf numFmtId="0" fontId="0" fillId="0" borderId="0" xfId="0"/>
    <xf numFmtId="0" fontId="11"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11" fillId="0" borderId="0" xfId="0" applyFont="1" applyProtection="1">
      <protection locked="0"/>
    </xf>
    <xf numFmtId="0" fontId="14" fillId="0" borderId="0" xfId="0" applyFont="1" applyAlignment="1" applyProtection="1">
      <alignment vertical="top"/>
      <protection locked="0"/>
    </xf>
    <xf numFmtId="0" fontId="8" fillId="5" borderId="2" xfId="0" applyFont="1" applyFill="1" applyBorder="1" applyAlignment="1" applyProtection="1">
      <alignment vertical="center" wrapText="1"/>
      <protection locked="0"/>
    </xf>
    <xf numFmtId="0" fontId="7" fillId="5" borderId="2" xfId="0" applyFont="1" applyFill="1" applyBorder="1" applyAlignment="1" applyProtection="1">
      <alignment vertical="center"/>
      <protection locked="0"/>
    </xf>
    <xf numFmtId="0" fontId="11" fillId="0" borderId="0" xfId="0" applyFont="1" applyAlignment="1" applyProtection="1">
      <alignment vertical="top"/>
      <protection locked="0"/>
    </xf>
    <xf numFmtId="0" fontId="11" fillId="0" borderId="0" xfId="0" applyFont="1" applyBorder="1" applyAlignment="1" applyProtection="1">
      <alignment vertical="top"/>
      <protection locked="0"/>
    </xf>
    <xf numFmtId="0" fontId="10" fillId="0" borderId="1" xfId="0" applyFont="1" applyBorder="1" applyAlignment="1" applyProtection="1">
      <alignment vertical="top"/>
      <protection locked="0"/>
    </xf>
    <xf numFmtId="0" fontId="10" fillId="0" borderId="8" xfId="0" applyFont="1" applyBorder="1" applyAlignment="1" applyProtection="1">
      <alignment vertical="top"/>
      <protection locked="0"/>
    </xf>
    <xf numFmtId="9" fontId="8" fillId="0" borderId="2" xfId="1" applyFont="1" applyBorder="1" applyAlignment="1" applyProtection="1">
      <alignment vertical="top"/>
      <protection locked="0"/>
    </xf>
    <xf numFmtId="9" fontId="11" fillId="0" borderId="0" xfId="1" applyFont="1" applyAlignment="1" applyProtection="1">
      <alignment vertical="top"/>
      <protection locked="0"/>
    </xf>
    <xf numFmtId="0" fontId="8" fillId="0" borderId="0" xfId="0" applyFont="1" applyProtection="1">
      <protection locked="0"/>
    </xf>
    <xf numFmtId="0" fontId="8" fillId="0" borderId="0" xfId="0" applyFont="1" applyAlignment="1">
      <alignment horizontal="left" vertical="top"/>
    </xf>
    <xf numFmtId="0" fontId="9" fillId="0" borderId="66" xfId="0" applyFont="1" applyBorder="1" applyAlignment="1">
      <alignment horizontal="left" vertical="top" wrapText="1"/>
    </xf>
    <xf numFmtId="9" fontId="11" fillId="0" borderId="0" xfId="1" applyFont="1" applyAlignment="1">
      <alignment horizontal="left" vertical="top"/>
    </xf>
    <xf numFmtId="9" fontId="8" fillId="0" borderId="0" xfId="0" applyNumberFormat="1" applyFont="1" applyAlignment="1">
      <alignment horizontal="left" vertical="top"/>
    </xf>
    <xf numFmtId="9" fontId="11" fillId="0" borderId="7" xfId="1" applyFont="1" applyBorder="1" applyAlignment="1">
      <alignment horizontal="left" vertical="top"/>
    </xf>
    <xf numFmtId="0" fontId="8" fillId="0" borderId="7" xfId="0" applyFont="1" applyBorder="1" applyAlignment="1">
      <alignment horizontal="left" vertical="top"/>
    </xf>
    <xf numFmtId="9" fontId="8" fillId="0" borderId="0" xfId="1" applyFont="1" applyAlignment="1">
      <alignment horizontal="left" vertical="top"/>
    </xf>
    <xf numFmtId="0" fontId="8" fillId="0" borderId="0" xfId="0" applyFont="1" applyAlignment="1">
      <alignment vertical="top"/>
    </xf>
    <xf numFmtId="0" fontId="7" fillId="0" borderId="1" xfId="0" applyFont="1" applyBorder="1" applyAlignment="1">
      <alignment vertical="top"/>
    </xf>
    <xf numFmtId="0" fontId="8" fillId="0" borderId="7" xfId="0" applyFont="1" applyBorder="1" applyAlignment="1">
      <alignment vertical="top"/>
    </xf>
    <xf numFmtId="0" fontId="7" fillId="3" borderId="4" xfId="0" applyFont="1" applyFill="1" applyBorder="1" applyAlignment="1">
      <alignment vertical="top"/>
    </xf>
    <xf numFmtId="0" fontId="7" fillId="3" borderId="10" xfId="0" applyFont="1" applyFill="1" applyBorder="1" applyAlignment="1">
      <alignment vertical="top"/>
    </xf>
    <xf numFmtId="0" fontId="8" fillId="0" borderId="8" xfId="0" applyFont="1" applyBorder="1" applyAlignment="1">
      <alignment vertical="top"/>
    </xf>
    <xf numFmtId="0" fontId="7" fillId="0" borderId="1" xfId="0" applyFont="1" applyBorder="1" applyAlignment="1">
      <alignment vertical="top" wrapText="1"/>
    </xf>
    <xf numFmtId="0" fontId="7" fillId="0" borderId="8" xfId="0" applyFont="1" applyBorder="1" applyAlignment="1">
      <alignment vertical="top"/>
    </xf>
    <xf numFmtId="0" fontId="7" fillId="0" borderId="7" xfId="0" applyFont="1" applyBorder="1" applyAlignment="1">
      <alignment vertical="top"/>
    </xf>
    <xf numFmtId="0" fontId="7" fillId="3" borderId="39" xfId="0" applyFont="1" applyFill="1" applyBorder="1" applyAlignment="1">
      <alignment vertical="top" wrapText="1"/>
    </xf>
    <xf numFmtId="0" fontId="7" fillId="0" borderId="66" xfId="0" applyFont="1" applyBorder="1" applyAlignment="1">
      <alignment vertical="top" wrapText="1"/>
    </xf>
    <xf numFmtId="0" fontId="7" fillId="0" borderId="2" xfId="0" applyFont="1" applyBorder="1" applyAlignment="1">
      <alignment vertical="top" wrapText="1"/>
    </xf>
    <xf numFmtId="0" fontId="7" fillId="0" borderId="10" xfId="0" applyFont="1" applyFill="1" applyBorder="1" applyAlignment="1">
      <alignment vertical="top" wrapText="1"/>
    </xf>
    <xf numFmtId="0" fontId="7" fillId="0" borderId="4" xfId="0" applyFont="1" applyBorder="1" applyAlignment="1">
      <alignment vertical="top"/>
    </xf>
    <xf numFmtId="0" fontId="8" fillId="0" borderId="66" xfId="0" applyFont="1" applyFill="1" applyBorder="1" applyAlignment="1">
      <alignment vertical="top" wrapText="1"/>
    </xf>
    <xf numFmtId="0" fontId="7" fillId="0" borderId="0" xfId="0" applyFont="1" applyBorder="1" applyAlignment="1">
      <alignment vertical="top" wrapText="1"/>
    </xf>
    <xf numFmtId="0" fontId="7" fillId="0" borderId="7" xfId="0" applyFont="1" applyFill="1" applyBorder="1" applyAlignment="1">
      <alignment vertical="top" wrapText="1"/>
    </xf>
    <xf numFmtId="0" fontId="7" fillId="0" borderId="0" xfId="0" applyFont="1" applyBorder="1" applyAlignment="1">
      <alignment vertical="top"/>
    </xf>
    <xf numFmtId="0" fontId="7" fillId="0" borderId="0" xfId="0" applyFont="1" applyFill="1" applyBorder="1" applyAlignment="1">
      <alignment vertical="top" wrapText="1"/>
    </xf>
    <xf numFmtId="0" fontId="8" fillId="0" borderId="66" xfId="0" applyFont="1" applyBorder="1" applyAlignment="1">
      <alignment horizontal="left" vertical="top" wrapText="1"/>
    </xf>
    <xf numFmtId="0" fontId="8" fillId="0" borderId="7" xfId="0" applyFont="1" applyBorder="1" applyAlignment="1">
      <alignment horizontal="left" vertical="top" wrapText="1"/>
    </xf>
    <xf numFmtId="0" fontId="11" fillId="0" borderId="0" xfId="0" applyFont="1"/>
    <xf numFmtId="0" fontId="15" fillId="0" borderId="66" xfId="0" applyFont="1" applyBorder="1" applyAlignment="1">
      <alignment horizontal="left" vertical="top" wrapText="1"/>
    </xf>
    <xf numFmtId="0" fontId="15" fillId="0" borderId="0" xfId="0" applyFont="1" applyBorder="1" applyAlignment="1">
      <alignment horizontal="left" vertical="top" wrapText="1"/>
    </xf>
    <xf numFmtId="0" fontId="8" fillId="0" borderId="7" xfId="0" applyFont="1" applyBorder="1" applyAlignment="1">
      <alignment vertical="top" wrapText="1"/>
    </xf>
    <xf numFmtId="0" fontId="7" fillId="3" borderId="52" xfId="0" applyFont="1" applyFill="1" applyBorder="1" applyAlignment="1">
      <alignment vertical="top" wrapText="1"/>
    </xf>
    <xf numFmtId="0" fontId="8" fillId="0" borderId="52" xfId="0" applyFont="1" applyBorder="1" applyAlignment="1">
      <alignment vertical="top" wrapText="1"/>
    </xf>
    <xf numFmtId="9" fontId="8" fillId="0" borderId="52" xfId="1" applyFont="1" applyBorder="1" applyAlignment="1">
      <alignment vertical="top" wrapText="1"/>
    </xf>
    <xf numFmtId="0" fontId="7" fillId="3" borderId="1" xfId="0" applyFont="1" applyFill="1" applyBorder="1" applyAlignment="1">
      <alignment vertical="top"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52" xfId="0" applyFont="1" applyBorder="1" applyAlignment="1">
      <alignment vertical="center" wrapText="1"/>
    </xf>
    <xf numFmtId="0" fontId="7" fillId="0" borderId="0" xfId="0" applyFont="1" applyAlignment="1">
      <alignment vertical="top"/>
    </xf>
    <xf numFmtId="3" fontId="11" fillId="0" borderId="64" xfId="0" applyNumberFormat="1" applyFont="1" applyFill="1" applyBorder="1" applyAlignment="1">
      <alignment vertical="top"/>
    </xf>
    <xf numFmtId="3" fontId="11" fillId="0" borderId="51" xfId="0" applyNumberFormat="1" applyFont="1" applyFill="1" applyBorder="1"/>
    <xf numFmtId="3" fontId="11" fillId="0" borderId="64" xfId="0" applyNumberFormat="1" applyFont="1" applyFill="1" applyBorder="1"/>
    <xf numFmtId="0" fontId="11" fillId="3" borderId="2" xfId="0" applyFont="1" applyFill="1" applyBorder="1" applyAlignment="1">
      <alignment vertical="center" wrapText="1"/>
    </xf>
    <xf numFmtId="166" fontId="8" fillId="0" borderId="0" xfId="0" applyNumberFormat="1" applyFont="1" applyAlignment="1">
      <alignment horizontal="left" vertical="top"/>
    </xf>
    <xf numFmtId="0" fontId="17" fillId="0" borderId="2" xfId="0" applyFont="1" applyBorder="1" applyAlignment="1">
      <alignment vertical="center" wrapText="1"/>
    </xf>
    <xf numFmtId="0" fontId="17" fillId="0" borderId="4" xfId="0" applyFont="1" applyBorder="1" applyAlignment="1">
      <alignment vertical="center" wrapText="1"/>
    </xf>
    <xf numFmtId="0" fontId="11" fillId="0" borderId="0" xfId="0" applyFont="1" applyBorder="1" applyAlignment="1">
      <alignment vertical="center" wrapText="1"/>
    </xf>
    <xf numFmtId="0" fontId="18" fillId="0" borderId="4" xfId="0" applyFont="1" applyBorder="1" applyAlignment="1">
      <alignment vertical="center" wrapText="1"/>
    </xf>
    <xf numFmtId="0" fontId="12" fillId="0" borderId="0" xfId="0" applyFont="1" applyProtection="1">
      <protection locked="0"/>
    </xf>
    <xf numFmtId="0" fontId="21" fillId="9" borderId="91" xfId="0" applyFont="1" applyFill="1" applyBorder="1" applyAlignment="1">
      <alignment vertical="center" wrapText="1"/>
    </xf>
    <xf numFmtId="0" fontId="21" fillId="0" borderId="91" xfId="0" applyFont="1" applyBorder="1" applyAlignment="1">
      <alignment vertical="center" wrapText="1"/>
    </xf>
    <xf numFmtId="0" fontId="4" fillId="0" borderId="0" xfId="0" applyFont="1" applyAlignment="1" applyProtection="1">
      <alignment horizontal="left" vertical="center"/>
      <protection locked="0"/>
    </xf>
    <xf numFmtId="0" fontId="7" fillId="3" borderId="58"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top"/>
      <protection locked="0"/>
    </xf>
    <xf numFmtId="0" fontId="8" fillId="0" borderId="0" xfId="0" applyFont="1" applyBorder="1" applyAlignment="1" applyProtection="1">
      <alignment horizontal="left" vertical="top" wrapText="1"/>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vertical="top"/>
      <protection locked="0"/>
    </xf>
    <xf numFmtId="0" fontId="7" fillId="0" borderId="0" xfId="0" applyFont="1" applyFill="1" applyAlignment="1" applyProtection="1">
      <alignment horizontal="left" vertical="center" wrapText="1"/>
      <protection locked="0"/>
    </xf>
    <xf numFmtId="0" fontId="8" fillId="0" borderId="0" xfId="0" applyFont="1" applyFill="1" applyAlignment="1" applyProtection="1">
      <alignment vertical="center"/>
      <protection locked="0"/>
    </xf>
    <xf numFmtId="0" fontId="23" fillId="0" borderId="0" xfId="3"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7" fillId="3" borderId="0" xfId="0" applyFont="1" applyFill="1" applyBorder="1" applyAlignment="1" applyProtection="1">
      <alignment vertical="top"/>
      <protection locked="0"/>
    </xf>
    <xf numFmtId="0" fontId="10" fillId="4"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Protection="1">
      <protection locked="0"/>
    </xf>
    <xf numFmtId="0" fontId="8" fillId="0" borderId="0" xfId="0" applyFont="1" applyFill="1" applyAlignment="1" applyProtection="1">
      <alignment vertical="top"/>
      <protection locked="0"/>
    </xf>
    <xf numFmtId="0" fontId="8" fillId="0" borderId="0" xfId="0" applyFont="1" applyFill="1" applyProtection="1">
      <protection locked="0"/>
    </xf>
    <xf numFmtId="0" fontId="11" fillId="0" borderId="2" xfId="0" applyFont="1" applyBorder="1" applyAlignment="1" applyProtection="1">
      <alignment vertical="top"/>
      <protection locked="0"/>
    </xf>
    <xf numFmtId="0" fontId="11" fillId="0" borderId="2" xfId="0" applyFont="1" applyBorder="1" applyProtection="1">
      <protection locked="0"/>
    </xf>
    <xf numFmtId="0" fontId="11" fillId="0" borderId="9" xfId="0" applyFont="1" applyBorder="1" applyProtection="1">
      <protection locked="0"/>
    </xf>
    <xf numFmtId="0" fontId="10" fillId="0" borderId="15" xfId="0" applyFont="1" applyFill="1" applyBorder="1" applyAlignment="1" applyProtection="1">
      <alignment horizontal="right" vertical="center" wrapText="1"/>
      <protection locked="0"/>
    </xf>
    <xf numFmtId="0" fontId="10" fillId="0" borderId="46" xfId="0" applyFont="1" applyFill="1" applyBorder="1" applyAlignment="1" applyProtection="1">
      <alignment horizontal="right" vertical="center" wrapText="1"/>
      <protection locked="0"/>
    </xf>
    <xf numFmtId="0" fontId="10" fillId="0" borderId="0" xfId="0" applyFont="1" applyBorder="1" applyProtection="1">
      <protection locked="0"/>
    </xf>
    <xf numFmtId="0" fontId="11" fillId="0" borderId="0" xfId="0" applyFont="1" applyBorder="1" applyAlignment="1" applyProtection="1">
      <alignment horizontal="left" vertical="center" indent="1"/>
      <protection locked="0"/>
    </xf>
    <xf numFmtId="0" fontId="11" fillId="0" borderId="0" xfId="0" applyFont="1" applyBorder="1" applyProtection="1">
      <protection locked="0"/>
    </xf>
    <xf numFmtId="3" fontId="10" fillId="3" borderId="11" xfId="0" applyNumberFormat="1" applyFont="1" applyFill="1" applyBorder="1" applyAlignment="1" applyProtection="1">
      <alignment vertical="top"/>
      <protection locked="0"/>
    </xf>
    <xf numFmtId="3" fontId="10" fillId="3" borderId="21" xfId="0" applyNumberFormat="1" applyFont="1" applyFill="1" applyBorder="1" applyAlignment="1" applyProtection="1">
      <alignment vertical="top"/>
      <protection locked="0"/>
    </xf>
    <xf numFmtId="3" fontId="10" fillId="3" borderId="30" xfId="0" applyNumberFormat="1" applyFont="1" applyFill="1" applyBorder="1" applyAlignment="1" applyProtection="1">
      <alignment vertical="top"/>
      <protection locked="0"/>
    </xf>
    <xf numFmtId="0" fontId="11" fillId="0" borderId="1" xfId="0" applyFont="1" applyBorder="1" applyProtection="1">
      <protection locked="0"/>
    </xf>
    <xf numFmtId="0" fontId="11" fillId="0" borderId="1" xfId="0" applyFont="1" applyBorder="1" applyAlignment="1" applyProtection="1">
      <alignment horizontal="left" vertical="center" indent="1"/>
      <protection locked="0"/>
    </xf>
    <xf numFmtId="3" fontId="11" fillId="0" borderId="26" xfId="0" applyNumberFormat="1" applyFont="1" applyFill="1" applyBorder="1" applyAlignment="1" applyProtection="1">
      <alignment vertical="top"/>
      <protection locked="0"/>
    </xf>
    <xf numFmtId="3" fontId="11" fillId="0" borderId="27" xfId="0" applyNumberFormat="1" applyFont="1" applyFill="1" applyBorder="1" applyAlignment="1" applyProtection="1">
      <alignment vertical="top"/>
      <protection locked="0"/>
    </xf>
    <xf numFmtId="3" fontId="11" fillId="0" borderId="31" xfId="0" applyNumberFormat="1" applyFont="1" applyFill="1" applyBorder="1" applyAlignment="1" applyProtection="1">
      <alignment vertical="top"/>
      <protection locked="0"/>
    </xf>
    <xf numFmtId="0" fontId="11" fillId="0" borderId="0" xfId="0" applyFont="1" applyAlignment="1" applyProtection="1">
      <alignment horizontal="left" vertical="center" indent="1"/>
      <protection locked="0"/>
    </xf>
    <xf numFmtId="3" fontId="11" fillId="0" borderId="11" xfId="0" applyNumberFormat="1" applyFont="1" applyBorder="1" applyAlignment="1" applyProtection="1">
      <alignment vertical="top"/>
      <protection locked="0"/>
    </xf>
    <xf numFmtId="3" fontId="11" fillId="0" borderId="21" xfId="0" applyNumberFormat="1" applyFont="1" applyBorder="1" applyAlignment="1" applyProtection="1">
      <alignment vertical="top"/>
      <protection locked="0"/>
    </xf>
    <xf numFmtId="3" fontId="11" fillId="0" borderId="30" xfId="0" applyNumberFormat="1" applyFont="1" applyBorder="1" applyAlignment="1" applyProtection="1">
      <alignment vertical="top"/>
      <protection locked="0"/>
    </xf>
    <xf numFmtId="3" fontId="11" fillId="3" borderId="11" xfId="0" applyNumberFormat="1" applyFont="1" applyFill="1" applyBorder="1" applyAlignment="1" applyProtection="1">
      <alignment vertical="top"/>
      <protection locked="0"/>
    </xf>
    <xf numFmtId="3" fontId="11" fillId="3" borderId="21" xfId="0" applyNumberFormat="1" applyFont="1" applyFill="1" applyBorder="1" applyAlignment="1" applyProtection="1">
      <alignment vertical="top"/>
      <protection locked="0"/>
    </xf>
    <xf numFmtId="3" fontId="11" fillId="3" borderId="40" xfId="0" applyNumberFormat="1" applyFont="1" applyFill="1" applyBorder="1" applyAlignment="1" applyProtection="1">
      <alignment vertical="top"/>
      <protection locked="0"/>
    </xf>
    <xf numFmtId="3" fontId="11" fillId="3" borderId="30" xfId="0" applyNumberFormat="1" applyFont="1" applyFill="1" applyBorder="1" applyAlignment="1" applyProtection="1">
      <alignment vertical="top"/>
      <protection locked="0"/>
    </xf>
    <xf numFmtId="3" fontId="11" fillId="0" borderId="84" xfId="0" applyNumberFormat="1" applyFont="1" applyFill="1" applyBorder="1" applyAlignment="1" applyProtection="1">
      <alignment vertical="top"/>
      <protection locked="0"/>
    </xf>
    <xf numFmtId="3" fontId="10" fillId="0" borderId="11" xfId="0" applyNumberFormat="1" applyFont="1" applyFill="1" applyBorder="1" applyAlignment="1" applyProtection="1">
      <alignment vertical="top"/>
      <protection locked="0"/>
    </xf>
    <xf numFmtId="3" fontId="10" fillId="0" borderId="21" xfId="0" applyNumberFormat="1" applyFont="1" applyFill="1" applyBorder="1" applyAlignment="1" applyProtection="1">
      <alignment vertical="top"/>
      <protection locked="0"/>
    </xf>
    <xf numFmtId="3" fontId="10" fillId="0" borderId="30" xfId="0" applyNumberFormat="1" applyFont="1" applyFill="1" applyBorder="1" applyAlignment="1" applyProtection="1">
      <alignment vertical="top"/>
      <protection locked="0"/>
    </xf>
    <xf numFmtId="0" fontId="11" fillId="0" borderId="0" xfId="0" applyFont="1" applyBorder="1" applyAlignment="1" applyProtection="1">
      <alignment horizontal="left" indent="1"/>
      <protection locked="0"/>
    </xf>
    <xf numFmtId="3" fontId="11" fillId="0" borderId="11" xfId="0" applyNumberFormat="1" applyFont="1" applyBorder="1" applyProtection="1">
      <protection locked="0"/>
    </xf>
    <xf numFmtId="3" fontId="11" fillId="0" borderId="21" xfId="0" applyNumberFormat="1" applyFont="1" applyBorder="1" applyProtection="1">
      <protection locked="0"/>
    </xf>
    <xf numFmtId="3" fontId="11" fillId="0" borderId="30" xfId="0" applyNumberFormat="1" applyFont="1" applyBorder="1" applyProtection="1">
      <protection locked="0"/>
    </xf>
    <xf numFmtId="0" fontId="11" fillId="0" borderId="0" xfId="0" applyFont="1" applyAlignment="1" applyProtection="1">
      <alignment horizontal="left" indent="1"/>
      <protection locked="0"/>
    </xf>
    <xf numFmtId="0" fontId="24" fillId="0" borderId="1" xfId="0" applyFont="1" applyBorder="1" applyAlignment="1" applyProtection="1">
      <alignment horizontal="left"/>
      <protection locked="0"/>
    </xf>
    <xf numFmtId="0" fontId="9" fillId="0" borderId="1" xfId="0" applyFont="1" applyBorder="1" applyProtection="1">
      <protection locked="0"/>
    </xf>
    <xf numFmtId="9" fontId="9" fillId="0" borderId="26" xfId="1" applyFont="1" applyBorder="1" applyAlignment="1" applyProtection="1">
      <alignment horizontal="right"/>
      <protection locked="0"/>
    </xf>
    <xf numFmtId="9" fontId="9" fillId="0" borderId="27" xfId="1" applyFont="1" applyBorder="1" applyAlignment="1" applyProtection="1">
      <alignment horizontal="right"/>
      <protection locked="0"/>
    </xf>
    <xf numFmtId="9" fontId="9" fillId="0" borderId="31" xfId="1" applyFont="1" applyBorder="1" applyAlignment="1" applyProtection="1">
      <alignment horizontal="right"/>
      <protection locked="0"/>
    </xf>
    <xf numFmtId="3" fontId="10" fillId="0" borderId="11" xfId="0" applyNumberFormat="1" applyFont="1" applyBorder="1" applyProtection="1">
      <protection locked="0"/>
    </xf>
    <xf numFmtId="3" fontId="10" fillId="0" borderId="21" xfId="0" applyNumberFormat="1" applyFont="1" applyBorder="1" applyProtection="1">
      <protection locked="0"/>
    </xf>
    <xf numFmtId="3" fontId="10" fillId="0" borderId="30" xfId="0" applyNumberFormat="1" applyFont="1" applyBorder="1" applyProtection="1">
      <protection locked="0"/>
    </xf>
    <xf numFmtId="0" fontId="11" fillId="0" borderId="35" xfId="0" applyFont="1" applyBorder="1" applyAlignment="1" applyProtection="1">
      <alignment horizontal="left" vertical="center"/>
      <protection locked="0"/>
    </xf>
    <xf numFmtId="0" fontId="11" fillId="0" borderId="35" xfId="0" applyFont="1" applyBorder="1" applyAlignment="1" applyProtection="1">
      <alignment horizontal="left" vertical="center" indent="1"/>
      <protection locked="0"/>
    </xf>
    <xf numFmtId="0" fontId="11" fillId="0" borderId="35" xfId="0" applyFont="1" applyBorder="1" applyProtection="1">
      <protection locked="0"/>
    </xf>
    <xf numFmtId="3" fontId="11" fillId="0" borderId="78" xfId="0" applyNumberFormat="1" applyFont="1" applyBorder="1" applyProtection="1">
      <protection locked="0"/>
    </xf>
    <xf numFmtId="3" fontId="11" fillId="0" borderId="70" xfId="0" applyNumberFormat="1" applyFont="1" applyBorder="1" applyProtection="1">
      <protection locked="0"/>
    </xf>
    <xf numFmtId="3" fontId="11" fillId="0" borderId="79" xfId="0" applyNumberFormat="1" applyFont="1" applyBorder="1" applyProtection="1">
      <protection locked="0"/>
    </xf>
    <xf numFmtId="0" fontId="11" fillId="0" borderId="0" xfId="0" applyFont="1" applyAlignment="1" applyProtection="1">
      <alignment horizontal="left" vertical="center"/>
      <protection locked="0"/>
    </xf>
    <xf numFmtId="3" fontId="10" fillId="0" borderId="0" xfId="0" applyNumberFormat="1" applyFont="1" applyBorder="1" applyProtection="1">
      <protection locked="0"/>
    </xf>
    <xf numFmtId="9" fontId="11" fillId="0" borderId="0" xfId="1" applyFont="1" applyProtection="1">
      <protection locked="0"/>
    </xf>
    <xf numFmtId="3" fontId="11" fillId="0" borderId="0" xfId="0" applyNumberFormat="1" applyFont="1" applyProtection="1">
      <protection locked="0"/>
    </xf>
    <xf numFmtId="3" fontId="10" fillId="0" borderId="5" xfId="0" applyNumberFormat="1" applyFont="1" applyBorder="1" applyAlignment="1" applyProtection="1">
      <alignment horizontal="left" vertical="center"/>
      <protection locked="0"/>
    </xf>
    <xf numFmtId="164" fontId="11" fillId="0" borderId="6" xfId="1" applyNumberFormat="1" applyFont="1" applyBorder="1" applyAlignment="1" applyProtection="1">
      <alignment horizontal="left" vertical="center"/>
      <protection locked="0"/>
    </xf>
    <xf numFmtId="3" fontId="11" fillId="0" borderId="22" xfId="0" applyNumberFormat="1" applyFont="1" applyBorder="1" applyAlignment="1" applyProtection="1">
      <alignment horizontal="right" vertical="center" wrapText="1"/>
      <protection locked="0"/>
    </xf>
    <xf numFmtId="3" fontId="11" fillId="0" borderId="20" xfId="0" applyNumberFormat="1" applyFont="1" applyBorder="1" applyAlignment="1" applyProtection="1">
      <alignment horizontal="right" vertical="center" wrapText="1"/>
      <protection locked="0"/>
    </xf>
    <xf numFmtId="3" fontId="11" fillId="0" borderId="47" xfId="0" applyNumberFormat="1" applyFont="1" applyBorder="1" applyAlignment="1" applyProtection="1">
      <alignment horizontal="right" vertical="center" wrapText="1"/>
      <protection locked="0"/>
    </xf>
    <xf numFmtId="3" fontId="10" fillId="0" borderId="6" xfId="0" applyNumberFormat="1" applyFont="1" applyBorder="1" applyAlignment="1" applyProtection="1">
      <alignment horizontal="left" vertical="center"/>
      <protection locked="0"/>
    </xf>
    <xf numFmtId="3" fontId="10" fillId="0" borderId="23" xfId="0" applyNumberFormat="1" applyFont="1" applyBorder="1" applyAlignment="1" applyProtection="1">
      <alignment horizontal="left" vertical="center"/>
      <protection locked="0"/>
    </xf>
    <xf numFmtId="0" fontId="7" fillId="0" borderId="1" xfId="0" applyFont="1" applyFill="1" applyBorder="1" applyAlignment="1" applyProtection="1">
      <alignment vertical="top"/>
      <protection locked="0"/>
    </xf>
    <xf numFmtId="0" fontId="8" fillId="0" borderId="1" xfId="0" applyFont="1" applyFill="1" applyBorder="1" applyAlignment="1" applyProtection="1">
      <alignment vertical="top"/>
      <protection locked="0"/>
    </xf>
    <xf numFmtId="0" fontId="10" fillId="0" borderId="9" xfId="0" applyFont="1" applyBorder="1" applyAlignment="1" applyProtection="1">
      <alignment horizontal="left" vertical="center" wrapText="1"/>
      <protection locked="0"/>
    </xf>
    <xf numFmtId="3" fontId="10" fillId="0" borderId="9" xfId="0" applyNumberFormat="1" applyFont="1" applyBorder="1" applyAlignment="1" applyProtection="1">
      <alignment horizontal="center" vertical="center" wrapText="1"/>
      <protection locked="0"/>
    </xf>
    <xf numFmtId="0" fontId="10" fillId="0" borderId="15" xfId="0" applyFont="1" applyBorder="1" applyAlignment="1" applyProtection="1">
      <alignment horizontal="right" vertical="center" wrapText="1"/>
      <protection locked="0"/>
    </xf>
    <xf numFmtId="0" fontId="10" fillId="0" borderId="46" xfId="0" applyFont="1" applyBorder="1" applyAlignment="1" applyProtection="1">
      <alignment horizontal="right" vertical="center" wrapText="1"/>
      <protection locked="0"/>
    </xf>
    <xf numFmtId="0" fontId="10" fillId="3" borderId="2" xfId="0" applyFont="1" applyFill="1" applyBorder="1" applyAlignment="1" applyProtection="1">
      <alignment horizontal="left" vertical="center"/>
      <protection locked="0"/>
    </xf>
    <xf numFmtId="0" fontId="10" fillId="2" borderId="2" xfId="0" applyFont="1" applyFill="1" applyBorder="1" applyProtection="1">
      <protection locked="0"/>
    </xf>
    <xf numFmtId="3" fontId="10" fillId="3" borderId="2" xfId="0" applyNumberFormat="1" applyFont="1" applyFill="1" applyBorder="1" applyProtection="1">
      <protection locked="0"/>
    </xf>
    <xf numFmtId="3" fontId="10" fillId="2" borderId="9" xfId="0" applyNumberFormat="1" applyFont="1" applyFill="1" applyBorder="1" applyProtection="1">
      <protection locked="0"/>
    </xf>
    <xf numFmtId="3" fontId="10" fillId="2" borderId="2" xfId="0" applyNumberFormat="1" applyFont="1" applyFill="1" applyBorder="1" applyProtection="1">
      <protection locked="0"/>
    </xf>
    <xf numFmtId="9" fontId="24" fillId="2" borderId="19" xfId="1" applyFont="1" applyFill="1" applyBorder="1" applyAlignment="1" applyProtection="1">
      <alignment horizontal="right"/>
      <protection locked="0"/>
    </xf>
    <xf numFmtId="3" fontId="11" fillId="0" borderId="51" xfId="0" applyNumberFormat="1" applyFont="1" applyFill="1" applyBorder="1" applyProtection="1">
      <protection locked="0"/>
    </xf>
    <xf numFmtId="164" fontId="11" fillId="0" borderId="51" xfId="1" applyNumberFormat="1" applyFont="1" applyFill="1" applyBorder="1" applyProtection="1">
      <protection locked="0"/>
    </xf>
    <xf numFmtId="3" fontId="11" fillId="0" borderId="51" xfId="0" applyNumberFormat="1" applyFont="1" applyBorder="1" applyAlignment="1" applyProtection="1">
      <alignment vertical="top" wrapText="1"/>
      <protection locked="0"/>
    </xf>
    <xf numFmtId="3" fontId="8" fillId="0" borderId="51" xfId="0" applyNumberFormat="1" applyFont="1" applyBorder="1" applyProtection="1">
      <protection locked="0"/>
    </xf>
    <xf numFmtId="3" fontId="11" fillId="3" borderId="33" xfId="0" applyNumberFormat="1" applyFont="1" applyFill="1" applyBorder="1" applyAlignment="1" applyProtection="1">
      <alignment vertical="top" wrapText="1"/>
      <protection locked="0"/>
    </xf>
    <xf numFmtId="3" fontId="11" fillId="3" borderId="25" xfId="0" applyNumberFormat="1" applyFont="1" applyFill="1" applyBorder="1" applyAlignment="1" applyProtection="1">
      <alignment vertical="top" wrapText="1"/>
      <protection locked="0"/>
    </xf>
    <xf numFmtId="3" fontId="11" fillId="3" borderId="29" xfId="0" applyNumberFormat="1" applyFont="1" applyFill="1" applyBorder="1" applyAlignment="1" applyProtection="1">
      <alignment vertical="top" wrapText="1"/>
      <protection locked="0"/>
    </xf>
    <xf numFmtId="9" fontId="8" fillId="0" borderId="11" xfId="1" applyFont="1" applyBorder="1" applyAlignment="1" applyProtection="1">
      <alignment horizontal="right" vertical="top"/>
      <protection locked="0"/>
    </xf>
    <xf numFmtId="3" fontId="11" fillId="0" borderId="72" xfId="0" applyNumberFormat="1" applyFont="1" applyFill="1" applyBorder="1" applyProtection="1">
      <protection locked="0"/>
    </xf>
    <xf numFmtId="164" fontId="11" fillId="0" borderId="72" xfId="1" applyNumberFormat="1" applyFont="1" applyFill="1" applyBorder="1" applyProtection="1">
      <protection locked="0"/>
    </xf>
    <xf numFmtId="3" fontId="8" fillId="0" borderId="72" xfId="0" applyNumberFormat="1" applyFont="1" applyBorder="1" applyProtection="1">
      <protection locked="0"/>
    </xf>
    <xf numFmtId="3" fontId="11" fillId="3" borderId="76" xfId="0" applyNumberFormat="1" applyFont="1" applyFill="1" applyBorder="1" applyAlignment="1" applyProtection="1">
      <alignment vertical="top" wrapText="1"/>
      <protection locked="0"/>
    </xf>
    <xf numFmtId="3" fontId="11" fillId="3" borderId="27" xfId="0" applyNumberFormat="1" applyFont="1" applyFill="1" applyBorder="1" applyAlignment="1" applyProtection="1">
      <alignment vertical="top" wrapText="1"/>
      <protection locked="0"/>
    </xf>
    <xf numFmtId="3" fontId="11" fillId="3" borderId="31" xfId="0" applyNumberFormat="1" applyFont="1" applyFill="1" applyBorder="1" applyAlignment="1" applyProtection="1">
      <alignment vertical="top" wrapText="1"/>
      <protection locked="0"/>
    </xf>
    <xf numFmtId="3" fontId="10" fillId="0" borderId="0" xfId="0" applyNumberFormat="1" applyFont="1" applyBorder="1" applyAlignment="1" applyProtection="1">
      <alignment vertical="top"/>
      <protection locked="0"/>
    </xf>
    <xf numFmtId="3" fontId="11" fillId="0" borderId="0" xfId="0" applyNumberFormat="1" applyFont="1" applyBorder="1" applyProtection="1">
      <protection locked="0"/>
    </xf>
    <xf numFmtId="9" fontId="11" fillId="0" borderId="0" xfId="1" applyFont="1" applyBorder="1" applyProtection="1">
      <protection locked="0"/>
    </xf>
    <xf numFmtId="1" fontId="11" fillId="0" borderId="0" xfId="0" applyNumberFormat="1" applyFont="1" applyBorder="1" applyAlignment="1" applyProtection="1">
      <alignment vertical="top" wrapText="1"/>
      <protection locked="0"/>
    </xf>
    <xf numFmtId="3" fontId="11" fillId="0" borderId="7" xfId="0" applyNumberFormat="1" applyFont="1" applyBorder="1" applyProtection="1">
      <protection locked="0"/>
    </xf>
    <xf numFmtId="3" fontId="25" fillId="0" borderId="0" xfId="0" applyNumberFormat="1" applyFont="1" applyBorder="1" applyProtection="1">
      <protection locked="0"/>
    </xf>
    <xf numFmtId="3" fontId="25" fillId="0" borderId="7" xfId="0" applyNumberFormat="1" applyFont="1" applyBorder="1" applyProtection="1">
      <protection locked="0"/>
    </xf>
    <xf numFmtId="0" fontId="11" fillId="0" borderId="11" xfId="0" applyFont="1" applyBorder="1" applyProtection="1">
      <protection locked="0"/>
    </xf>
    <xf numFmtId="3" fontId="11" fillId="4" borderId="51" xfId="0" applyNumberFormat="1" applyFont="1" applyFill="1" applyBorder="1" applyProtection="1">
      <protection locked="0"/>
    </xf>
    <xf numFmtId="3" fontId="11" fillId="0" borderId="51" xfId="0" applyNumberFormat="1" applyFont="1" applyBorder="1" applyProtection="1">
      <protection locked="0"/>
    </xf>
    <xf numFmtId="3" fontId="11" fillId="4" borderId="64" xfId="0" applyNumberFormat="1" applyFont="1" applyFill="1" applyBorder="1" applyProtection="1">
      <protection locked="0"/>
    </xf>
    <xf numFmtId="3" fontId="11" fillId="0" borderId="64" xfId="0" applyNumberFormat="1" applyFont="1" applyBorder="1" applyProtection="1">
      <protection locked="0"/>
    </xf>
    <xf numFmtId="3" fontId="11" fillId="3" borderId="34" xfId="0" applyNumberFormat="1" applyFont="1" applyFill="1" applyBorder="1" applyAlignment="1" applyProtection="1">
      <alignment vertical="top" wrapText="1"/>
      <protection locked="0"/>
    </xf>
    <xf numFmtId="3" fontId="11" fillId="3" borderId="21" xfId="0" applyNumberFormat="1" applyFont="1" applyFill="1" applyBorder="1" applyAlignment="1" applyProtection="1">
      <alignment vertical="top" wrapText="1"/>
      <protection locked="0"/>
    </xf>
    <xf numFmtId="3" fontId="11" fillId="3" borderId="30" xfId="0" applyNumberFormat="1" applyFont="1" applyFill="1" applyBorder="1" applyAlignment="1" applyProtection="1">
      <alignment vertical="top" wrapText="1"/>
      <protection locked="0"/>
    </xf>
    <xf numFmtId="3" fontId="11" fillId="4" borderId="72" xfId="0" applyNumberFormat="1" applyFont="1" applyFill="1" applyBorder="1" applyProtection="1">
      <protection locked="0"/>
    </xf>
    <xf numFmtId="3" fontId="11" fillId="0" borderId="72" xfId="0" applyNumberFormat="1" applyFont="1" applyBorder="1" applyProtection="1">
      <protection locked="0"/>
    </xf>
    <xf numFmtId="3" fontId="10" fillId="0" borderId="5" xfId="0" applyNumberFormat="1" applyFont="1" applyBorder="1" applyAlignment="1" applyProtection="1">
      <alignment vertical="top"/>
      <protection locked="0"/>
    </xf>
    <xf numFmtId="3" fontId="9" fillId="0" borderId="6" xfId="0" applyNumberFormat="1" applyFont="1" applyBorder="1" applyProtection="1">
      <protection locked="0"/>
    </xf>
    <xf numFmtId="3" fontId="10" fillId="0" borderId="71" xfId="0" applyNumberFormat="1" applyFont="1" applyBorder="1" applyProtection="1">
      <protection locked="0"/>
    </xf>
    <xf numFmtId="3" fontId="11" fillId="0" borderId="5" xfId="0" applyNumberFormat="1" applyFont="1" applyBorder="1" applyAlignment="1" applyProtection="1">
      <alignment vertical="top" wrapText="1"/>
      <protection locked="0"/>
    </xf>
    <xf numFmtId="3" fontId="11" fillId="0" borderId="71" xfId="0" applyNumberFormat="1" applyFont="1" applyBorder="1" applyAlignment="1" applyProtection="1">
      <alignment vertical="top" wrapText="1"/>
      <protection locked="0"/>
    </xf>
    <xf numFmtId="3" fontId="10" fillId="0" borderId="41" xfId="0" applyNumberFormat="1" applyFont="1" applyBorder="1" applyAlignment="1" applyProtection="1">
      <alignment vertical="top"/>
      <protection locked="0"/>
    </xf>
    <xf numFmtId="3" fontId="11" fillId="0" borderId="41" xfId="0" applyNumberFormat="1" applyFont="1" applyBorder="1" applyProtection="1">
      <protection locked="0"/>
    </xf>
    <xf numFmtId="164" fontId="11" fillId="3" borderId="41" xfId="1" applyNumberFormat="1" applyFont="1" applyFill="1" applyBorder="1" applyProtection="1">
      <protection locked="0"/>
    </xf>
    <xf numFmtId="3" fontId="10" fillId="0" borderId="73" xfId="0" applyNumberFormat="1" applyFont="1" applyBorder="1" applyProtection="1">
      <protection locked="0"/>
    </xf>
    <xf numFmtId="3" fontId="11" fillId="0" borderId="41" xfId="0" applyNumberFormat="1" applyFont="1" applyBorder="1" applyAlignment="1" applyProtection="1">
      <alignment vertical="top" wrapText="1"/>
      <protection locked="0"/>
    </xf>
    <xf numFmtId="3" fontId="11" fillId="0" borderId="73" xfId="0" applyNumberFormat="1" applyFont="1" applyBorder="1" applyAlignment="1" applyProtection="1">
      <alignment vertical="top" wrapText="1"/>
      <protection locked="0"/>
    </xf>
    <xf numFmtId="164" fontId="11" fillId="0" borderId="0" xfId="1" applyNumberFormat="1" applyFont="1" applyProtection="1">
      <protection locked="0"/>
    </xf>
    <xf numFmtId="1" fontId="11" fillId="0" borderId="0" xfId="1" applyNumberFormat="1" applyFont="1" applyProtection="1">
      <protection locked="0"/>
    </xf>
    <xf numFmtId="3" fontId="11" fillId="0" borderId="0" xfId="0" applyNumberFormat="1" applyFont="1" applyAlignment="1" applyProtection="1">
      <alignment vertical="top" wrapText="1"/>
      <protection locked="0"/>
    </xf>
    <xf numFmtId="3" fontId="11" fillId="0" borderId="74" xfId="0" applyNumberFormat="1" applyFont="1" applyBorder="1" applyAlignment="1" applyProtection="1">
      <alignment vertical="top" wrapText="1"/>
      <protection locked="0"/>
    </xf>
    <xf numFmtId="0" fontId="10" fillId="0" borderId="2" xfId="0" applyFont="1" applyBorder="1" applyAlignment="1" applyProtection="1">
      <alignment horizontal="left" vertical="center" wrapText="1"/>
      <protection locked="0"/>
    </xf>
    <xf numFmtId="3" fontId="10" fillId="0" borderId="9" xfId="0" applyNumberFormat="1" applyFont="1" applyBorder="1" applyAlignment="1" applyProtection="1">
      <alignment horizontal="left" vertical="center" wrapText="1"/>
      <protection locked="0"/>
    </xf>
    <xf numFmtId="0" fontId="10" fillId="2" borderId="0" xfId="0" applyFont="1" applyFill="1" applyBorder="1" applyAlignment="1" applyProtection="1">
      <alignment horizontal="left" vertical="center"/>
      <protection locked="0"/>
    </xf>
    <xf numFmtId="0" fontId="11" fillId="2" borderId="0" xfId="0" applyFont="1" applyFill="1" applyBorder="1" applyProtection="1">
      <protection locked="0"/>
    </xf>
    <xf numFmtId="9" fontId="11" fillId="2" borderId="10" xfId="1" applyFont="1" applyFill="1" applyBorder="1" applyProtection="1">
      <protection locked="0"/>
    </xf>
    <xf numFmtId="0" fontId="11" fillId="2" borderId="12" xfId="0" applyFont="1" applyFill="1" applyBorder="1" applyProtection="1">
      <protection locked="0"/>
    </xf>
    <xf numFmtId="0" fontId="9" fillId="2" borderId="0" xfId="0" applyFont="1" applyFill="1" applyBorder="1" applyProtection="1">
      <protection locked="0"/>
    </xf>
    <xf numFmtId="0" fontId="11" fillId="2" borderId="0" xfId="0" applyFont="1" applyFill="1" applyProtection="1">
      <protection locked="0"/>
    </xf>
    <xf numFmtId="3" fontId="11" fillId="0" borderId="5" xfId="0" applyNumberFormat="1" applyFont="1" applyBorder="1" applyProtection="1">
      <protection locked="0"/>
    </xf>
    <xf numFmtId="1" fontId="11" fillId="0" borderId="71" xfId="0" applyNumberFormat="1" applyFont="1" applyBorder="1" applyAlignment="1" applyProtection="1">
      <alignment vertical="top" wrapText="1"/>
      <protection locked="0"/>
    </xf>
    <xf numFmtId="3" fontId="10" fillId="0" borderId="13" xfId="0" applyNumberFormat="1" applyFont="1" applyBorder="1" applyProtection="1">
      <protection locked="0"/>
    </xf>
    <xf numFmtId="3" fontId="11" fillId="0" borderId="86" xfId="0" applyNumberFormat="1" applyFont="1" applyBorder="1" applyAlignment="1" applyProtection="1">
      <alignment vertical="top" wrapText="1"/>
      <protection locked="0"/>
    </xf>
    <xf numFmtId="3" fontId="11" fillId="0" borderId="20" xfId="0" applyNumberFormat="1" applyFont="1" applyBorder="1" applyAlignment="1" applyProtection="1">
      <alignment vertical="top" wrapText="1"/>
      <protection locked="0"/>
    </xf>
    <xf numFmtId="164" fontId="11" fillId="0" borderId="0" xfId="1" applyNumberFormat="1" applyFont="1" applyFill="1" applyBorder="1" applyProtection="1">
      <protection locked="0"/>
    </xf>
    <xf numFmtId="1" fontId="11" fillId="0" borderId="7" xfId="1" applyNumberFormat="1" applyFont="1" applyFill="1" applyBorder="1" applyProtection="1">
      <protection locked="0"/>
    </xf>
    <xf numFmtId="3" fontId="11" fillId="0" borderId="12" xfId="0" applyNumberFormat="1" applyFont="1" applyBorder="1" applyProtection="1">
      <protection locked="0"/>
    </xf>
    <xf numFmtId="3" fontId="11" fillId="3" borderId="87" xfId="0" applyNumberFormat="1" applyFont="1" applyFill="1" applyBorder="1" applyAlignment="1" applyProtection="1">
      <alignment vertical="top" wrapText="1"/>
      <protection locked="0"/>
    </xf>
    <xf numFmtId="0" fontId="11" fillId="0" borderId="4" xfId="0" applyFont="1" applyBorder="1" applyProtection="1">
      <protection locked="0"/>
    </xf>
    <xf numFmtId="3" fontId="10" fillId="0" borderId="2" xfId="0" applyNumberFormat="1" applyFont="1" applyBorder="1" applyAlignment="1" applyProtection="1">
      <alignment horizontal="left" vertical="center" wrapText="1"/>
      <protection locked="0"/>
    </xf>
    <xf numFmtId="0" fontId="26" fillId="0" borderId="0" xfId="0" applyFont="1" applyProtection="1">
      <protection locked="0"/>
    </xf>
    <xf numFmtId="0" fontId="9" fillId="0" borderId="0" xfId="0" applyFont="1" applyProtection="1">
      <protection locked="0"/>
    </xf>
    <xf numFmtId="0" fontId="8" fillId="0" borderId="0" xfId="0" applyFont="1" applyAlignment="1" applyProtection="1">
      <alignment vertical="top"/>
      <protection locked="0"/>
    </xf>
    <xf numFmtId="0" fontId="7" fillId="0" borderId="1" xfId="0" applyFont="1" applyFill="1" applyBorder="1" applyAlignment="1" applyProtection="1">
      <alignment horizontal="left" vertical="center"/>
      <protection locked="0"/>
    </xf>
    <xf numFmtId="0" fontId="8" fillId="3"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23" fillId="0" borderId="1" xfId="3" applyFont="1" applyFill="1" applyBorder="1" applyAlignment="1" applyProtection="1">
      <alignment horizontal="left" vertical="center"/>
      <protection locked="0"/>
    </xf>
    <xf numFmtId="0" fontId="8" fillId="0" borderId="56" xfId="0" applyFont="1" applyBorder="1" applyProtection="1">
      <protection locked="0"/>
    </xf>
    <xf numFmtId="0" fontId="8" fillId="0" borderId="57" xfId="0" applyFont="1" applyBorder="1" applyProtection="1">
      <protection locked="0"/>
    </xf>
    <xf numFmtId="0" fontId="8" fillId="0" borderId="59" xfId="0" applyFont="1" applyBorder="1" applyAlignment="1" applyProtection="1">
      <alignment vertical="top"/>
      <protection locked="0"/>
    </xf>
    <xf numFmtId="0" fontId="8" fillId="0" borderId="59" xfId="0" applyFont="1" applyBorder="1" applyProtection="1">
      <protection locked="0"/>
    </xf>
    <xf numFmtId="0" fontId="8" fillId="0" borderId="60" xfId="0" applyFont="1" applyBorder="1" applyProtection="1">
      <protection locked="0"/>
    </xf>
    <xf numFmtId="0" fontId="8" fillId="2" borderId="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5" borderId="2" xfId="0" applyFont="1" applyFill="1" applyBorder="1" applyAlignment="1" applyProtection="1">
      <alignment vertical="top"/>
      <protection locked="0"/>
    </xf>
    <xf numFmtId="0" fontId="8" fillId="5" borderId="2" xfId="0"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0" borderId="24" xfId="0" applyFont="1" applyBorder="1" applyAlignment="1" applyProtection="1">
      <alignment vertical="top"/>
      <protection locked="0"/>
    </xf>
    <xf numFmtId="0" fontId="7" fillId="0" borderId="46" xfId="0" applyFont="1" applyBorder="1" applyAlignment="1" applyProtection="1">
      <alignment vertical="top"/>
      <protection locked="0"/>
    </xf>
    <xf numFmtId="0" fontId="7" fillId="0" borderId="15" xfId="0" applyFont="1" applyBorder="1" applyAlignment="1" applyProtection="1">
      <alignment vertical="top" wrapText="1"/>
      <protection locked="0"/>
    </xf>
    <xf numFmtId="0" fontId="10" fillId="0" borderId="52" xfId="0" applyFont="1" applyBorder="1" applyAlignment="1" applyProtection="1">
      <alignment vertical="top"/>
      <protection locked="0"/>
    </xf>
    <xf numFmtId="0" fontId="7" fillId="0" borderId="38" xfId="0" applyFont="1" applyBorder="1" applyAlignment="1" applyProtection="1">
      <alignment horizontal="left" vertical="top"/>
      <protection locked="0"/>
    </xf>
    <xf numFmtId="0" fontId="7" fillId="0" borderId="2" xfId="0" applyFont="1" applyBorder="1" applyAlignment="1" applyProtection="1">
      <alignment horizontal="left" vertical="center" wrapText="1"/>
      <protection locked="0"/>
    </xf>
    <xf numFmtId="0" fontId="7" fillId="0" borderId="16" xfId="0" applyFont="1" applyBorder="1" applyProtection="1">
      <protection locked="0"/>
    </xf>
    <xf numFmtId="0" fontId="8" fillId="0" borderId="47" xfId="0" applyFont="1" applyBorder="1" applyProtection="1">
      <protection locked="0"/>
    </xf>
    <xf numFmtId="0" fontId="8" fillId="0" borderId="16" xfId="0" applyFont="1" applyBorder="1" applyProtection="1">
      <protection locked="0"/>
    </xf>
    <xf numFmtId="0" fontId="8" fillId="0" borderId="20" xfId="0" applyFont="1" applyBorder="1" applyProtection="1">
      <protection locked="0"/>
    </xf>
    <xf numFmtId="0" fontId="8" fillId="0" borderId="61" xfId="0" applyFont="1" applyBorder="1" applyProtection="1">
      <protection locked="0"/>
    </xf>
    <xf numFmtId="0" fontId="8" fillId="0" borderId="64" xfId="0" applyFont="1" applyBorder="1" applyProtection="1">
      <protection locked="0"/>
    </xf>
    <xf numFmtId="0" fontId="8" fillId="0" borderId="40" xfId="0" applyFont="1" applyBorder="1" applyProtection="1">
      <protection locked="0"/>
    </xf>
    <xf numFmtId="0" fontId="8" fillId="0" borderId="11" xfId="0" applyFont="1" applyBorder="1" applyProtection="1">
      <protection locked="0"/>
    </xf>
    <xf numFmtId="0" fontId="8" fillId="0" borderId="30" xfId="0" applyFont="1" applyBorder="1" applyProtection="1">
      <protection locked="0"/>
    </xf>
    <xf numFmtId="3" fontId="8" fillId="3" borderId="11" xfId="0" applyNumberFormat="1" applyFont="1" applyFill="1" applyBorder="1" applyProtection="1">
      <protection locked="0"/>
    </xf>
    <xf numFmtId="3" fontId="8" fillId="0" borderId="21" xfId="0" applyNumberFormat="1" applyFont="1" applyFill="1" applyBorder="1" applyProtection="1">
      <protection locked="0"/>
    </xf>
    <xf numFmtId="3" fontId="8" fillId="0" borderId="30" xfId="0" applyNumberFormat="1" applyFont="1" applyFill="1" applyBorder="1" applyProtection="1">
      <protection locked="0"/>
    </xf>
    <xf numFmtId="3" fontId="8" fillId="0" borderId="50" xfId="0" applyNumberFormat="1" applyFont="1" applyFill="1" applyBorder="1" applyProtection="1">
      <protection locked="0"/>
    </xf>
    <xf numFmtId="0" fontId="27" fillId="0" borderId="11" xfId="0" applyFont="1" applyBorder="1" applyProtection="1">
      <protection locked="0"/>
    </xf>
    <xf numFmtId="0" fontId="27" fillId="0" borderId="30" xfId="0" applyFont="1" applyBorder="1" applyProtection="1">
      <protection locked="0"/>
    </xf>
    <xf numFmtId="9" fontId="27" fillId="3" borderId="11" xfId="0" applyNumberFormat="1" applyFont="1" applyFill="1" applyBorder="1" applyProtection="1">
      <protection locked="0"/>
    </xf>
    <xf numFmtId="9" fontId="27" fillId="3" borderId="21" xfId="0" applyNumberFormat="1" applyFont="1" applyFill="1" applyBorder="1" applyProtection="1">
      <protection locked="0"/>
    </xf>
    <xf numFmtId="9" fontId="27" fillId="0" borderId="64" xfId="0" applyNumberFormat="1" applyFont="1" applyFill="1" applyBorder="1" applyProtection="1">
      <protection locked="0"/>
    </xf>
    <xf numFmtId="0" fontId="27" fillId="3" borderId="40" xfId="0" applyFont="1" applyFill="1" applyBorder="1" applyProtection="1">
      <protection locked="0"/>
    </xf>
    <xf numFmtId="0" fontId="27" fillId="3" borderId="0" xfId="0" applyFont="1" applyFill="1" applyBorder="1" applyProtection="1">
      <protection locked="0"/>
    </xf>
    <xf numFmtId="0" fontId="27" fillId="3" borderId="11" xfId="0" applyFont="1" applyFill="1" applyBorder="1" applyProtection="1">
      <protection locked="0"/>
    </xf>
    <xf numFmtId="0" fontId="27" fillId="3" borderId="21" xfId="0" applyFont="1" applyFill="1" applyBorder="1" applyProtection="1">
      <protection locked="0"/>
    </xf>
    <xf numFmtId="0" fontId="27" fillId="0" borderId="64" xfId="0" applyFont="1" applyFill="1" applyBorder="1" applyProtection="1">
      <protection locked="0"/>
    </xf>
    <xf numFmtId="3" fontId="8" fillId="3" borderId="21" xfId="0" applyNumberFormat="1" applyFont="1" applyFill="1" applyBorder="1" applyProtection="1">
      <protection locked="0"/>
    </xf>
    <xf numFmtId="3" fontId="8" fillId="0" borderId="64" xfId="0" applyNumberFormat="1" applyFont="1" applyFill="1" applyBorder="1" applyProtection="1">
      <protection locked="0"/>
    </xf>
    <xf numFmtId="0" fontId="8" fillId="3" borderId="40" xfId="0" applyFont="1" applyFill="1" applyBorder="1" applyProtection="1">
      <protection locked="0"/>
    </xf>
    <xf numFmtId="0" fontId="8" fillId="3" borderId="0" xfId="0" applyFont="1" applyFill="1" applyBorder="1" applyProtection="1">
      <protection locked="0"/>
    </xf>
    <xf numFmtId="0" fontId="8" fillId="0" borderId="11" xfId="0" applyFont="1" applyFill="1" applyBorder="1" applyProtection="1">
      <protection locked="0"/>
    </xf>
    <xf numFmtId="0" fontId="8" fillId="0" borderId="21" xfId="0" applyFont="1" applyFill="1" applyBorder="1" applyProtection="1">
      <protection locked="0"/>
    </xf>
    <xf numFmtId="0" fontId="8" fillId="0" borderId="30" xfId="0" applyFont="1" applyFill="1" applyBorder="1" applyProtection="1">
      <protection locked="0"/>
    </xf>
    <xf numFmtId="0" fontId="8" fillId="0" borderId="64" xfId="0" applyFont="1" applyFill="1" applyBorder="1" applyProtection="1">
      <protection locked="0"/>
    </xf>
    <xf numFmtId="0" fontId="8" fillId="0" borderId="40" xfId="0" applyFont="1" applyFill="1" applyBorder="1" applyProtection="1">
      <protection locked="0"/>
    </xf>
    <xf numFmtId="0" fontId="7" fillId="0" borderId="17" xfId="0" applyFont="1" applyBorder="1" applyProtection="1">
      <protection locked="0"/>
    </xf>
    <xf numFmtId="0" fontId="8" fillId="0" borderId="43" xfId="0" applyFont="1" applyBorder="1" applyProtection="1">
      <protection locked="0"/>
    </xf>
    <xf numFmtId="0" fontId="8" fillId="0" borderId="17" xfId="0" applyFont="1" applyFill="1" applyBorder="1" applyProtection="1">
      <protection locked="0"/>
    </xf>
    <xf numFmtId="0" fontId="8" fillId="0" borderId="22" xfId="0" applyFont="1" applyFill="1" applyBorder="1" applyProtection="1">
      <protection locked="0"/>
    </xf>
    <xf numFmtId="0" fontId="8" fillId="0" borderId="43" xfId="0" applyFont="1" applyFill="1" applyBorder="1" applyProtection="1">
      <protection locked="0"/>
    </xf>
    <xf numFmtId="0" fontId="8" fillId="0" borderId="65" xfId="0" applyFont="1" applyFill="1" applyBorder="1" applyProtection="1">
      <protection locked="0"/>
    </xf>
    <xf numFmtId="4" fontId="8" fillId="3" borderId="11" xfId="0" applyNumberFormat="1" applyFont="1" applyFill="1" applyBorder="1" applyProtection="1">
      <protection locked="0"/>
    </xf>
    <xf numFmtId="4" fontId="8" fillId="3" borderId="21" xfId="0" applyNumberFormat="1" applyFont="1" applyFill="1" applyBorder="1" applyProtection="1">
      <protection locked="0"/>
    </xf>
    <xf numFmtId="4" fontId="8" fillId="3" borderId="30" xfId="0" applyNumberFormat="1" applyFont="1" applyFill="1" applyBorder="1" applyProtection="1">
      <protection locked="0"/>
    </xf>
    <xf numFmtId="4" fontId="8" fillId="0" borderId="64" xfId="0" applyNumberFormat="1" applyFont="1" applyFill="1" applyBorder="1" applyProtection="1">
      <protection locked="0"/>
    </xf>
    <xf numFmtId="4" fontId="8" fillId="6" borderId="21" xfId="0" applyNumberFormat="1" applyFont="1" applyFill="1" applyBorder="1" applyProtection="1">
      <protection locked="0"/>
    </xf>
    <xf numFmtId="4" fontId="8" fillId="6" borderId="30" xfId="0" applyNumberFormat="1" applyFont="1" applyFill="1" applyBorder="1" applyProtection="1">
      <protection locked="0"/>
    </xf>
    <xf numFmtId="9" fontId="27" fillId="3" borderId="21" xfId="0" quotePrefix="1" applyNumberFormat="1" applyFont="1" applyFill="1" applyBorder="1" applyProtection="1">
      <protection locked="0"/>
    </xf>
    <xf numFmtId="9" fontId="27" fillId="3" borderId="30" xfId="0" quotePrefix="1" applyNumberFormat="1" applyFont="1" applyFill="1" applyBorder="1" applyProtection="1">
      <protection locked="0"/>
    </xf>
    <xf numFmtId="2" fontId="8" fillId="0" borderId="11" xfId="0" applyNumberFormat="1" applyFont="1" applyFill="1" applyBorder="1" applyProtection="1">
      <protection locked="0"/>
    </xf>
    <xf numFmtId="2" fontId="8" fillId="0" borderId="21" xfId="0" applyNumberFormat="1" applyFont="1" applyFill="1" applyBorder="1" applyProtection="1">
      <protection locked="0"/>
    </xf>
    <xf numFmtId="2" fontId="8" fillId="0" borderId="30" xfId="0" applyNumberFormat="1" applyFont="1" applyFill="1" applyBorder="1" applyProtection="1">
      <protection locked="0"/>
    </xf>
    <xf numFmtId="0" fontId="7" fillId="0" borderId="11" xfId="0" applyFont="1" applyBorder="1" applyProtection="1">
      <protection locked="0"/>
    </xf>
    <xf numFmtId="2" fontId="8" fillId="3" borderId="11" xfId="0" applyNumberFormat="1" applyFont="1" applyFill="1" applyBorder="1" applyProtection="1">
      <protection locked="0"/>
    </xf>
    <xf numFmtId="2" fontId="8" fillId="3" borderId="21" xfId="0" applyNumberFormat="1" applyFont="1" applyFill="1" applyBorder="1" applyProtection="1">
      <protection locked="0"/>
    </xf>
    <xf numFmtId="2" fontId="8" fillId="3" borderId="30" xfId="0" applyNumberFormat="1" applyFont="1" applyFill="1" applyBorder="1" applyProtection="1">
      <protection locked="0"/>
    </xf>
    <xf numFmtId="9" fontId="8" fillId="3" borderId="11" xfId="0" applyNumberFormat="1" applyFont="1" applyFill="1" applyBorder="1" applyProtection="1">
      <protection locked="0"/>
    </xf>
    <xf numFmtId="9" fontId="8" fillId="3" borderId="21" xfId="0" applyNumberFormat="1" applyFont="1" applyFill="1" applyBorder="1" applyProtection="1">
      <protection locked="0"/>
    </xf>
    <xf numFmtId="9" fontId="8" fillId="3" borderId="30" xfId="0" applyNumberFormat="1" applyFont="1" applyFill="1" applyBorder="1" applyProtection="1">
      <protection locked="0"/>
    </xf>
    <xf numFmtId="0" fontId="7" fillId="0" borderId="15" xfId="0" applyFont="1" applyBorder="1" applyAlignment="1" applyProtection="1">
      <alignment horizontal="left" vertical="top"/>
      <protection locked="0"/>
    </xf>
    <xf numFmtId="0" fontId="8" fillId="0" borderId="46" xfId="0" applyFont="1" applyBorder="1" applyAlignment="1" applyProtection="1">
      <alignment vertical="top"/>
      <protection locked="0"/>
    </xf>
    <xf numFmtId="3" fontId="8" fillId="3" borderId="15" xfId="0" applyNumberFormat="1" applyFont="1" applyFill="1" applyBorder="1" applyAlignment="1" applyProtection="1">
      <alignment vertical="top"/>
      <protection locked="0"/>
    </xf>
    <xf numFmtId="3" fontId="8" fillId="3" borderId="19" xfId="0" applyNumberFormat="1" applyFont="1" applyFill="1" applyBorder="1" applyAlignment="1" applyProtection="1">
      <alignment vertical="top"/>
      <protection locked="0"/>
    </xf>
    <xf numFmtId="3" fontId="8" fillId="3" borderId="46" xfId="0" applyNumberFormat="1" applyFont="1" applyFill="1" applyBorder="1" applyAlignment="1" applyProtection="1">
      <alignment vertical="top"/>
      <protection locked="0"/>
    </xf>
    <xf numFmtId="3" fontId="8" fillId="0" borderId="52" xfId="0" applyNumberFormat="1" applyFont="1" applyFill="1" applyBorder="1" applyAlignment="1" applyProtection="1">
      <alignment vertical="top"/>
      <protection locked="0"/>
    </xf>
    <xf numFmtId="0" fontId="9" fillId="0" borderId="48" xfId="0" applyFont="1" applyBorder="1" applyAlignment="1" applyProtection="1">
      <alignment vertical="top"/>
      <protection locked="0"/>
    </xf>
    <xf numFmtId="0" fontId="7" fillId="0" borderId="11" xfId="0" applyFont="1" applyBorder="1" applyAlignment="1" applyProtection="1">
      <alignment vertical="top"/>
      <protection locked="0"/>
    </xf>
    <xf numFmtId="0" fontId="8" fillId="0" borderId="30" xfId="0" applyFont="1" applyBorder="1" applyAlignment="1" applyProtection="1">
      <alignment vertical="top"/>
      <protection locked="0"/>
    </xf>
    <xf numFmtId="3" fontId="8" fillId="3" borderId="11" xfId="0" applyNumberFormat="1" applyFont="1" applyFill="1" applyBorder="1" applyAlignment="1" applyProtection="1">
      <alignment vertical="top"/>
      <protection locked="0"/>
    </xf>
    <xf numFmtId="3" fontId="8" fillId="3" borderId="21" xfId="0" applyNumberFormat="1" applyFont="1" applyFill="1" applyBorder="1" applyAlignment="1" applyProtection="1">
      <alignment vertical="top"/>
      <protection locked="0"/>
    </xf>
    <xf numFmtId="3" fontId="8" fillId="3" borderId="30" xfId="0" applyNumberFormat="1" applyFont="1" applyFill="1" applyBorder="1" applyAlignment="1" applyProtection="1">
      <alignment vertical="top"/>
      <protection locked="0"/>
    </xf>
    <xf numFmtId="0" fontId="7" fillId="0" borderId="14" xfId="0" applyFont="1" applyBorder="1" applyAlignment="1" applyProtection="1">
      <alignment vertical="top"/>
      <protection locked="0"/>
    </xf>
    <xf numFmtId="0" fontId="8" fillId="0" borderId="32" xfId="0" applyFont="1" applyBorder="1" applyAlignment="1" applyProtection="1">
      <alignment vertical="top"/>
      <protection locked="0"/>
    </xf>
    <xf numFmtId="3" fontId="7" fillId="0" borderId="14" xfId="0" applyNumberFormat="1" applyFont="1" applyFill="1" applyBorder="1" applyAlignment="1" applyProtection="1">
      <alignment vertical="top"/>
      <protection locked="0"/>
    </xf>
    <xf numFmtId="3" fontId="7" fillId="0" borderId="18" xfId="0" applyNumberFormat="1" applyFont="1" applyFill="1" applyBorder="1" applyAlignment="1" applyProtection="1">
      <alignment vertical="top"/>
      <protection locked="0"/>
    </xf>
    <xf numFmtId="3" fontId="7" fillId="0" borderId="32" xfId="0" applyNumberFormat="1" applyFont="1" applyFill="1" applyBorder="1" applyAlignment="1" applyProtection="1">
      <alignment vertical="top"/>
      <protection locked="0"/>
    </xf>
    <xf numFmtId="3" fontId="7" fillId="0" borderId="63" xfId="0" applyNumberFormat="1" applyFont="1" applyFill="1" applyBorder="1" applyAlignment="1" applyProtection="1">
      <alignment vertical="top"/>
      <protection locked="0"/>
    </xf>
    <xf numFmtId="0" fontId="7" fillId="0" borderId="0" xfId="0" applyFont="1" applyBorder="1" applyAlignment="1" applyProtection="1">
      <alignment vertical="top"/>
      <protection locked="0"/>
    </xf>
    <xf numFmtId="3" fontId="8" fillId="0" borderId="0" xfId="0" applyNumberFormat="1" applyFont="1" applyFill="1" applyBorder="1" applyAlignment="1" applyProtection="1">
      <alignment vertical="top"/>
      <protection locked="0"/>
    </xf>
    <xf numFmtId="0" fontId="8" fillId="0" borderId="51" xfId="0" applyFont="1" applyBorder="1" applyProtection="1">
      <protection locked="0"/>
    </xf>
    <xf numFmtId="3" fontId="8" fillId="0" borderId="40" xfId="0" applyNumberFormat="1" applyFont="1" applyFill="1" applyBorder="1" applyProtection="1">
      <protection locked="0"/>
    </xf>
    <xf numFmtId="9" fontId="27" fillId="3" borderId="40" xfId="0" applyNumberFormat="1" applyFont="1" applyFill="1" applyBorder="1" applyProtection="1">
      <protection locked="0"/>
    </xf>
    <xf numFmtId="3" fontId="8" fillId="3" borderId="40" xfId="0" applyNumberFormat="1" applyFont="1" applyFill="1" applyBorder="1" applyProtection="1">
      <protection locked="0"/>
    </xf>
    <xf numFmtId="3" fontId="27" fillId="0" borderId="64" xfId="0" applyNumberFormat="1" applyFont="1" applyFill="1" applyBorder="1" applyProtection="1">
      <protection locked="0"/>
    </xf>
    <xf numFmtId="3" fontId="8" fillId="0" borderId="11" xfId="0" applyNumberFormat="1" applyFont="1" applyFill="1" applyBorder="1" applyProtection="1">
      <protection locked="0"/>
    </xf>
    <xf numFmtId="9" fontId="8" fillId="3" borderId="21" xfId="1" applyNumberFormat="1" applyFont="1" applyFill="1" applyBorder="1" applyProtection="1">
      <protection locked="0"/>
    </xf>
    <xf numFmtId="9" fontId="8" fillId="3" borderId="40" xfId="0" applyNumberFormat="1" applyFont="1" applyFill="1" applyBorder="1" applyProtection="1">
      <protection locked="0"/>
    </xf>
    <xf numFmtId="9" fontId="8" fillId="0" borderId="64" xfId="0" applyNumberFormat="1" applyFont="1" applyBorder="1" applyProtection="1">
      <protection locked="0"/>
    </xf>
    <xf numFmtId="3" fontId="8" fillId="3" borderId="38" xfId="0" applyNumberFormat="1" applyFont="1" applyFill="1" applyBorder="1" applyAlignment="1" applyProtection="1">
      <alignment vertical="top"/>
      <protection locked="0"/>
    </xf>
    <xf numFmtId="3" fontId="8" fillId="0" borderId="52" xfId="0" applyNumberFormat="1" applyFont="1" applyBorder="1" applyAlignment="1" applyProtection="1">
      <alignment vertical="top"/>
      <protection locked="0"/>
    </xf>
    <xf numFmtId="3" fontId="8" fillId="3" borderId="40" xfId="0" applyNumberFormat="1" applyFont="1" applyFill="1" applyBorder="1" applyAlignment="1" applyProtection="1">
      <alignment vertical="top"/>
      <protection locked="0"/>
    </xf>
    <xf numFmtId="3" fontId="8" fillId="0" borderId="0" xfId="0" applyNumberFormat="1" applyFont="1" applyBorder="1" applyAlignment="1" applyProtection="1">
      <alignment vertical="top"/>
      <protection locked="0"/>
    </xf>
    <xf numFmtId="3" fontId="7" fillId="0" borderId="62" xfId="0" applyNumberFormat="1" applyFont="1" applyFill="1" applyBorder="1" applyAlignment="1" applyProtection="1">
      <alignment vertical="top"/>
      <protection locked="0"/>
    </xf>
    <xf numFmtId="3" fontId="7" fillId="0" borderId="63" xfId="0" applyNumberFormat="1" applyFont="1" applyBorder="1" applyAlignment="1" applyProtection="1">
      <alignment vertical="top"/>
      <protection locked="0"/>
    </xf>
    <xf numFmtId="3" fontId="7" fillId="0" borderId="48"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0" fontId="7" fillId="0" borderId="2" xfId="0" applyFont="1" applyBorder="1" applyAlignment="1" applyProtection="1">
      <alignment vertical="top"/>
      <protection locked="0"/>
    </xf>
    <xf numFmtId="0" fontId="7" fillId="0" borderId="19"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46" xfId="0" applyFont="1" applyBorder="1" applyAlignment="1" applyProtection="1">
      <alignment vertical="top" wrapText="1"/>
      <protection locked="0"/>
    </xf>
    <xf numFmtId="0" fontId="7" fillId="0" borderId="66"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7" fillId="2" borderId="1" xfId="0" applyFont="1" applyFill="1" applyBorder="1" applyAlignment="1" applyProtection="1">
      <alignment vertical="top"/>
      <protection locked="0"/>
    </xf>
    <xf numFmtId="0" fontId="8" fillId="2" borderId="31"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8" fillId="2" borderId="8" xfId="0" applyFont="1" applyFill="1" applyBorder="1" applyAlignment="1" applyProtection="1">
      <alignment vertical="top"/>
      <protection locked="0"/>
    </xf>
    <xf numFmtId="0" fontId="8" fillId="2" borderId="2" xfId="0" applyFont="1" applyFill="1" applyBorder="1" applyAlignment="1" applyProtection="1">
      <alignment vertical="top"/>
      <protection locked="0"/>
    </xf>
    <xf numFmtId="0" fontId="8" fillId="2" borderId="27" xfId="0" applyFont="1" applyFill="1" applyBorder="1" applyAlignment="1" applyProtection="1">
      <alignment vertical="top"/>
      <protection locked="0"/>
    </xf>
    <xf numFmtId="0" fontId="8" fillId="2" borderId="38" xfId="0" applyFont="1" applyFill="1" applyBorder="1" applyAlignment="1" applyProtection="1">
      <alignment vertical="top"/>
      <protection locked="0"/>
    </xf>
    <xf numFmtId="0" fontId="7" fillId="0" borderId="0" xfId="0" applyFont="1" applyAlignment="1" applyProtection="1">
      <alignment vertical="top"/>
      <protection locked="0"/>
    </xf>
    <xf numFmtId="0" fontId="7" fillId="0" borderId="7" xfId="0" applyFont="1" applyBorder="1" applyAlignment="1" applyProtection="1">
      <alignment vertical="top"/>
      <protection locked="0"/>
    </xf>
    <xf numFmtId="0" fontId="8" fillId="0" borderId="21" xfId="0" applyFont="1" applyBorder="1" applyAlignment="1" applyProtection="1">
      <alignment vertical="top"/>
      <protection locked="0"/>
    </xf>
    <xf numFmtId="9" fontId="8" fillId="3" borderId="30" xfId="1" applyFont="1" applyFill="1" applyBorder="1" applyAlignment="1" applyProtection="1">
      <alignment vertical="top"/>
      <protection locked="0"/>
    </xf>
    <xf numFmtId="0" fontId="8" fillId="0" borderId="7" xfId="0" applyFont="1" applyBorder="1" applyAlignment="1" applyProtection="1">
      <alignment vertical="top"/>
      <protection locked="0"/>
    </xf>
    <xf numFmtId="0" fontId="8" fillId="0" borderId="0" xfId="0" applyFont="1" applyAlignment="1" applyProtection="1">
      <alignment horizontal="left" vertical="top" indent="1"/>
      <protection locked="0"/>
    </xf>
    <xf numFmtId="3" fontId="8" fillId="3" borderId="0" xfId="0" applyNumberFormat="1" applyFont="1" applyFill="1" applyAlignment="1" applyProtection="1">
      <alignment vertical="top"/>
      <protection locked="0"/>
    </xf>
    <xf numFmtId="3" fontId="8" fillId="3" borderId="7" xfId="0" applyNumberFormat="1" applyFont="1" applyFill="1" applyBorder="1" applyAlignment="1" applyProtection="1">
      <alignment vertical="top"/>
      <protection locked="0"/>
    </xf>
    <xf numFmtId="9" fontId="8" fillId="3" borderId="0" xfId="1" applyFont="1" applyFill="1" applyAlignment="1" applyProtection="1">
      <alignment vertical="top"/>
      <protection locked="0"/>
    </xf>
    <xf numFmtId="9" fontId="8" fillId="3" borderId="7" xfId="1"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8" fillId="2" borderId="46" xfId="0" applyFont="1" applyFill="1" applyBorder="1" applyAlignment="1" applyProtection="1">
      <alignment vertical="top"/>
      <protection locked="0"/>
    </xf>
    <xf numFmtId="0" fontId="8" fillId="2" borderId="9" xfId="0" applyFont="1" applyFill="1" applyBorder="1" applyAlignment="1" applyProtection="1">
      <alignment vertical="top"/>
      <protection locked="0"/>
    </xf>
    <xf numFmtId="0" fontId="8" fillId="2" borderId="19" xfId="0" applyFont="1" applyFill="1" applyBorder="1" applyAlignment="1" applyProtection="1">
      <alignment vertical="top"/>
      <protection locked="0"/>
    </xf>
    <xf numFmtId="0" fontId="8" fillId="0" borderId="0" xfId="0" applyFont="1" applyAlignment="1" applyProtection="1">
      <alignment horizontal="left" vertical="top"/>
      <protection locked="0"/>
    </xf>
    <xf numFmtId="164" fontId="8" fillId="3" borderId="0" xfId="1" applyNumberFormat="1" applyFont="1" applyFill="1" applyAlignment="1" applyProtection="1">
      <alignment vertical="top"/>
      <protection locked="0"/>
    </xf>
    <xf numFmtId="164" fontId="8" fillId="3" borderId="7" xfId="1" applyNumberFormat="1" applyFont="1" applyFill="1" applyBorder="1" applyAlignment="1" applyProtection="1">
      <alignment vertical="top"/>
      <protection locked="0"/>
    </xf>
    <xf numFmtId="3" fontId="8" fillId="0" borderId="0" xfId="0" applyNumberFormat="1" applyFont="1" applyProtection="1">
      <protection locked="0"/>
    </xf>
    <xf numFmtId="3" fontId="8" fillId="0" borderId="7" xfId="0" applyNumberFormat="1" applyFont="1" applyBorder="1" applyProtection="1">
      <protection locked="0"/>
    </xf>
    <xf numFmtId="0" fontId="9" fillId="0" borderId="11" xfId="0" applyFont="1" applyBorder="1" applyAlignment="1" applyProtection="1">
      <alignment vertical="top"/>
      <protection locked="0"/>
    </xf>
    <xf numFmtId="0" fontId="8" fillId="0" borderId="21" xfId="0" applyFont="1" applyBorder="1" applyProtection="1">
      <protection locked="0"/>
    </xf>
    <xf numFmtId="3" fontId="8" fillId="2" borderId="2" xfId="0" applyNumberFormat="1" applyFont="1" applyFill="1" applyBorder="1" applyAlignment="1" applyProtection="1">
      <alignment vertical="top"/>
      <protection locked="0"/>
    </xf>
    <xf numFmtId="3" fontId="8" fillId="3" borderId="0" xfId="0" applyNumberFormat="1" applyFont="1" applyFill="1" applyProtection="1">
      <protection locked="0"/>
    </xf>
    <xf numFmtId="3" fontId="8" fillId="3" borderId="7" xfId="0" applyNumberFormat="1" applyFont="1" applyFill="1" applyBorder="1" applyProtection="1">
      <protection locked="0"/>
    </xf>
    <xf numFmtId="0" fontId="7" fillId="0" borderId="0" xfId="0" applyFont="1" applyAlignment="1" applyProtection="1">
      <alignment horizontal="left" vertical="top"/>
      <protection locked="0"/>
    </xf>
    <xf numFmtId="3" fontId="7" fillId="0" borderId="0" xfId="0" applyNumberFormat="1" applyFont="1" applyFill="1" applyAlignment="1" applyProtection="1">
      <alignment vertical="top"/>
      <protection locked="0"/>
    </xf>
    <xf numFmtId="3" fontId="7" fillId="0" borderId="7" xfId="0" applyNumberFormat="1" applyFont="1" applyFill="1" applyBorder="1" applyAlignment="1" applyProtection="1">
      <alignment vertical="top"/>
      <protection locked="0"/>
    </xf>
    <xf numFmtId="4" fontId="8" fillId="0" borderId="0" xfId="0" applyNumberFormat="1" applyFont="1" applyFill="1" applyAlignment="1" applyProtection="1">
      <alignment vertical="top"/>
      <protection locked="0"/>
    </xf>
    <xf numFmtId="4" fontId="8" fillId="0" borderId="7" xfId="0" applyNumberFormat="1" applyFont="1" applyFill="1" applyBorder="1" applyAlignment="1" applyProtection="1">
      <alignment vertical="top"/>
      <protection locked="0"/>
    </xf>
    <xf numFmtId="164" fontId="7" fillId="0" borderId="0" xfId="1" applyNumberFormat="1" applyFont="1" applyFill="1" applyAlignment="1" applyProtection="1">
      <alignment vertical="top"/>
      <protection locked="0"/>
    </xf>
    <xf numFmtId="164" fontId="7" fillId="0" borderId="7" xfId="1" applyNumberFormat="1" applyFont="1" applyFill="1" applyBorder="1" applyAlignment="1" applyProtection="1">
      <alignment vertical="top"/>
      <protection locked="0"/>
    </xf>
    <xf numFmtId="0" fontId="8" fillId="0" borderId="0" xfId="0" applyFont="1" applyAlignment="1" applyProtection="1">
      <alignment horizontal="left" vertical="top" indent="2"/>
      <protection locked="0"/>
    </xf>
    <xf numFmtId="9" fontId="8" fillId="3" borderId="0" xfId="0" applyNumberFormat="1" applyFont="1" applyFill="1" applyAlignment="1" applyProtection="1">
      <alignment vertical="top"/>
      <protection locked="0"/>
    </xf>
    <xf numFmtId="9" fontId="8" fillId="3" borderId="7" xfId="0" applyNumberFormat="1" applyFont="1" applyFill="1" applyBorder="1" applyAlignment="1" applyProtection="1">
      <alignment vertical="top"/>
      <protection locked="0"/>
    </xf>
    <xf numFmtId="0" fontId="9" fillId="0" borderId="21" xfId="0" applyFont="1" applyBorder="1" applyProtection="1">
      <protection locked="0"/>
    </xf>
    <xf numFmtId="165" fontId="8" fillId="3" borderId="0" xfId="0" applyNumberFormat="1" applyFont="1" applyFill="1" applyAlignment="1" applyProtection="1">
      <alignment vertical="top"/>
      <protection locked="0"/>
    </xf>
    <xf numFmtId="165" fontId="8" fillId="3" borderId="7" xfId="0" applyNumberFormat="1" applyFont="1" applyFill="1" applyBorder="1" applyAlignment="1" applyProtection="1">
      <alignment vertical="top"/>
      <protection locked="0"/>
    </xf>
    <xf numFmtId="0" fontId="10" fillId="2" borderId="0" xfId="0" applyFont="1" applyFill="1" applyAlignment="1" applyProtection="1">
      <alignment vertical="top" wrapText="1"/>
      <protection locked="0"/>
    </xf>
    <xf numFmtId="0" fontId="11" fillId="2" borderId="0" xfId="0" applyFont="1" applyFill="1" applyAlignment="1" applyProtection="1">
      <alignment vertical="top"/>
      <protection locked="0"/>
    </xf>
    <xf numFmtId="0" fontId="7" fillId="0" borderId="6" xfId="0" applyFont="1" applyFill="1" applyBorder="1" applyAlignment="1" applyProtection="1">
      <alignment horizontal="left" vertical="top" wrapText="1"/>
      <protection locked="0"/>
    </xf>
    <xf numFmtId="0" fontId="7" fillId="3" borderId="6" xfId="0" applyFont="1" applyFill="1" applyBorder="1" applyAlignment="1" applyProtection="1">
      <alignment vertical="center"/>
      <protection locked="0"/>
    </xf>
    <xf numFmtId="0" fontId="7" fillId="0" borderId="6" xfId="0" applyFont="1" applyFill="1" applyBorder="1" applyAlignment="1" applyProtection="1">
      <alignment horizontal="left" vertical="center"/>
      <protection locked="0"/>
    </xf>
    <xf numFmtId="14" fontId="8"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wrapText="1"/>
      <protection locked="0"/>
    </xf>
    <xf numFmtId="0" fontId="7" fillId="0" borderId="41" xfId="0" applyFont="1" applyFill="1" applyBorder="1" applyAlignment="1" applyProtection="1">
      <alignment horizontal="left" vertical="center"/>
      <protection locked="0"/>
    </xf>
    <xf numFmtId="0" fontId="11" fillId="4" borderId="41" xfId="0" applyFont="1" applyFill="1" applyBorder="1" applyAlignment="1" applyProtection="1">
      <alignment vertical="center"/>
      <protection locked="0"/>
    </xf>
    <xf numFmtId="0" fontId="7" fillId="0"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0" xfId="0" applyFont="1" applyAlignment="1" applyProtection="1">
      <alignment vertical="top" wrapText="1"/>
      <protection locked="0"/>
    </xf>
    <xf numFmtId="0" fontId="28" fillId="0" borderId="0" xfId="0" applyFont="1" applyBorder="1" applyAlignment="1" applyProtection="1">
      <alignment vertical="top"/>
      <protection locked="0"/>
    </xf>
    <xf numFmtId="0" fontId="8" fillId="0" borderId="0" xfId="0" applyFont="1" applyBorder="1" applyAlignment="1" applyProtection="1">
      <alignment vertical="top" wrapText="1"/>
      <protection locked="0"/>
    </xf>
    <xf numFmtId="0" fontId="11" fillId="0" borderId="1" xfId="0" applyFont="1" applyBorder="1" applyAlignment="1" applyProtection="1">
      <alignment vertical="top"/>
      <protection locked="0"/>
    </xf>
    <xf numFmtId="0" fontId="8" fillId="0" borderId="4" xfId="0" applyFont="1" applyBorder="1" applyAlignment="1" applyProtection="1">
      <alignment vertical="top" wrapText="1"/>
      <protection locked="0"/>
    </xf>
    <xf numFmtId="0" fontId="7" fillId="3" borderId="0" xfId="0" applyFont="1" applyFill="1" applyBorder="1" applyAlignment="1" applyProtection="1">
      <alignment vertical="center"/>
      <protection locked="0"/>
    </xf>
    <xf numFmtId="0" fontId="10" fillId="4" borderId="0" xfId="0" applyFont="1" applyFill="1" applyAlignment="1" applyProtection="1">
      <alignment vertical="top" wrapText="1"/>
      <protection locked="0"/>
    </xf>
    <xf numFmtId="167" fontId="11" fillId="0" borderId="0" xfId="0" applyNumberFormat="1" applyFont="1" applyAlignment="1" applyProtection="1">
      <alignment vertical="top"/>
      <protection locked="0"/>
    </xf>
    <xf numFmtId="0" fontId="10" fillId="0" borderId="0" xfId="0" applyFont="1" applyAlignment="1" applyProtection="1">
      <alignment vertical="top"/>
      <protection locked="0"/>
    </xf>
    <xf numFmtId="0" fontId="8" fillId="0" borderId="0"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11" fillId="0" borderId="0" xfId="0" applyFont="1" applyFill="1" applyAlignment="1" applyProtection="1">
      <alignment vertical="top"/>
      <protection locked="0"/>
    </xf>
    <xf numFmtId="0" fontId="10" fillId="0" borderId="66" xfId="0" applyFont="1" applyBorder="1" applyAlignment="1" applyProtection="1">
      <alignment vertical="top"/>
      <protection locked="0"/>
    </xf>
    <xf numFmtId="0" fontId="7" fillId="0" borderId="66" xfId="0" applyFont="1" applyFill="1" applyBorder="1" applyAlignment="1" applyProtection="1">
      <alignment vertical="top"/>
      <protection locked="0"/>
    </xf>
    <xf numFmtId="0" fontId="10" fillId="0" borderId="27" xfId="0" applyFont="1" applyBorder="1" applyAlignment="1" applyProtection="1">
      <alignment vertical="top" wrapText="1"/>
      <protection locked="0"/>
    </xf>
    <xf numFmtId="0" fontId="10" fillId="0" borderId="27" xfId="0" applyFont="1" applyBorder="1" applyAlignment="1" applyProtection="1">
      <alignment horizontal="left" vertical="top" textRotation="90" wrapText="1"/>
      <protection locked="0"/>
    </xf>
    <xf numFmtId="0" fontId="11" fillId="0" borderId="46" xfId="0" applyFont="1" applyBorder="1" applyAlignment="1" applyProtection="1">
      <alignment vertical="top" wrapText="1"/>
      <protection locked="0"/>
    </xf>
    <xf numFmtId="0" fontId="10" fillId="0" borderId="52" xfId="0" applyFont="1" applyFill="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27" xfId="0" applyFont="1" applyFill="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0" fillId="0" borderId="26" xfId="0" applyFont="1" applyFill="1" applyBorder="1" applyAlignment="1" applyProtection="1">
      <alignment vertical="top" wrapText="1"/>
      <protection locked="0"/>
    </xf>
    <xf numFmtId="0" fontId="11" fillId="0" borderId="31"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19" xfId="0" applyFont="1" applyFill="1" applyBorder="1" applyAlignment="1" applyProtection="1">
      <alignment vertical="top" wrapText="1"/>
      <protection locked="0"/>
    </xf>
    <xf numFmtId="0" fontId="11" fillId="0" borderId="46"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9" fontId="11" fillId="0" borderId="65" xfId="1" applyFont="1" applyBorder="1" applyAlignment="1" applyProtection="1">
      <alignment vertical="top" wrapText="1"/>
    </xf>
    <xf numFmtId="9" fontId="11" fillId="0" borderId="17" xfId="1" applyFont="1" applyBorder="1" applyAlignment="1" applyProtection="1">
      <alignment vertical="top" wrapText="1"/>
    </xf>
    <xf numFmtId="9" fontId="11" fillId="0" borderId="43" xfId="0" applyNumberFormat="1" applyFont="1" applyFill="1" applyBorder="1" applyAlignment="1" applyProtection="1">
      <alignment horizontal="right" vertical="top"/>
    </xf>
    <xf numFmtId="0" fontId="11" fillId="3" borderId="42" xfId="0" applyFont="1" applyFill="1" applyBorder="1" applyAlignment="1" applyProtection="1">
      <alignment vertical="top" wrapText="1"/>
      <protection locked="0"/>
    </xf>
    <xf numFmtId="3" fontId="10" fillId="3" borderId="42" xfId="0" applyNumberFormat="1" applyFont="1" applyFill="1" applyBorder="1" applyAlignment="1" applyProtection="1">
      <alignment vertical="top"/>
      <protection locked="0"/>
    </xf>
    <xf numFmtId="0" fontId="11" fillId="4" borderId="41" xfId="0" applyFont="1" applyFill="1" applyBorder="1" applyAlignment="1" applyProtection="1">
      <alignment vertical="top" wrapText="1"/>
      <protection locked="0"/>
    </xf>
    <xf numFmtId="0" fontId="11" fillId="4" borderId="36" xfId="0" applyFont="1" applyFill="1" applyBorder="1" applyAlignment="1" applyProtection="1">
      <alignment vertical="top" wrapText="1"/>
      <protection locked="0"/>
    </xf>
    <xf numFmtId="3" fontId="11" fillId="3" borderId="45" xfId="0" applyNumberFormat="1" applyFont="1" applyFill="1" applyBorder="1" applyAlignment="1" applyProtection="1">
      <alignment vertical="top"/>
      <protection locked="0"/>
    </xf>
    <xf numFmtId="3" fontId="10" fillId="0" borderId="77" xfId="0" applyNumberFormat="1" applyFont="1" applyFill="1" applyBorder="1" applyAlignment="1" applyProtection="1">
      <alignment vertical="top"/>
    </xf>
    <xf numFmtId="3" fontId="11" fillId="3" borderId="42" xfId="0" applyNumberFormat="1" applyFont="1" applyFill="1" applyBorder="1" applyAlignment="1" applyProtection="1">
      <alignment vertical="top"/>
      <protection locked="0"/>
    </xf>
    <xf numFmtId="3" fontId="11" fillId="0" borderId="77" xfId="0" applyNumberFormat="1" applyFont="1" applyBorder="1" applyAlignment="1" applyProtection="1">
      <alignment vertical="top" wrapText="1"/>
      <protection locked="0"/>
    </xf>
    <xf numFmtId="0" fontId="11" fillId="3" borderId="81" xfId="0" applyFont="1" applyFill="1" applyBorder="1" applyAlignment="1" applyProtection="1">
      <alignment vertical="top" wrapText="1"/>
      <protection locked="0"/>
    </xf>
    <xf numFmtId="3" fontId="10" fillId="3" borderId="81" xfId="0" applyNumberFormat="1" applyFont="1" applyFill="1" applyBorder="1" applyAlignment="1" applyProtection="1">
      <alignment vertical="top"/>
      <protection locked="0"/>
    </xf>
    <xf numFmtId="0" fontId="11" fillId="4" borderId="82" xfId="0" applyFont="1" applyFill="1" applyBorder="1" applyAlignment="1" applyProtection="1">
      <alignment vertical="top" wrapText="1"/>
      <protection locked="0"/>
    </xf>
    <xf numFmtId="0" fontId="11" fillId="4" borderId="37" xfId="0" applyFont="1" applyFill="1" applyBorder="1" applyAlignment="1" applyProtection="1">
      <alignment vertical="top" wrapText="1"/>
      <protection locked="0"/>
    </xf>
    <xf numFmtId="3" fontId="11" fillId="3" borderId="44" xfId="0" applyNumberFormat="1" applyFont="1" applyFill="1" applyBorder="1" applyAlignment="1" applyProtection="1">
      <alignment vertical="top"/>
      <protection locked="0"/>
    </xf>
    <xf numFmtId="3" fontId="10" fillId="0" borderId="50" xfId="0" applyNumberFormat="1" applyFont="1" applyFill="1" applyBorder="1" applyAlignment="1" applyProtection="1">
      <alignment vertical="top"/>
    </xf>
    <xf numFmtId="9" fontId="11" fillId="0" borderId="30" xfId="0" applyNumberFormat="1" applyFont="1" applyFill="1" applyBorder="1" applyAlignment="1" applyProtection="1">
      <alignment horizontal="right" vertical="top"/>
    </xf>
    <xf numFmtId="3" fontId="11" fillId="3" borderId="81" xfId="0" applyNumberFormat="1" applyFont="1" applyFill="1" applyBorder="1" applyAlignment="1" applyProtection="1">
      <alignment vertical="top"/>
      <protection locked="0"/>
    </xf>
    <xf numFmtId="3" fontId="11" fillId="0" borderId="50" xfId="0" applyNumberFormat="1" applyFont="1" applyBorder="1" applyAlignment="1" applyProtection="1">
      <alignment vertical="top" wrapText="1"/>
      <protection locked="0"/>
    </xf>
    <xf numFmtId="0" fontId="11" fillId="3" borderId="80" xfId="0" applyFont="1" applyFill="1" applyBorder="1" applyAlignment="1" applyProtection="1">
      <alignment vertical="top" wrapText="1"/>
      <protection locked="0"/>
    </xf>
    <xf numFmtId="3" fontId="10" fillId="3" borderId="80" xfId="0" applyNumberFormat="1" applyFont="1" applyFill="1" applyBorder="1" applyAlignment="1" applyProtection="1">
      <alignment vertical="top"/>
      <protection locked="0"/>
    </xf>
    <xf numFmtId="0" fontId="11" fillId="4" borderId="74" xfId="0" applyFont="1" applyFill="1" applyBorder="1" applyAlignment="1" applyProtection="1">
      <alignment vertical="top" wrapText="1"/>
      <protection locked="0"/>
    </xf>
    <xf numFmtId="3" fontId="11" fillId="3" borderId="68" xfId="0" applyNumberFormat="1" applyFont="1" applyFill="1" applyBorder="1" applyAlignment="1" applyProtection="1">
      <alignment vertical="top"/>
      <protection locked="0"/>
    </xf>
    <xf numFmtId="3" fontId="10" fillId="0" borderId="83" xfId="0" applyNumberFormat="1" applyFont="1" applyFill="1" applyBorder="1" applyAlignment="1" applyProtection="1">
      <alignment vertical="top"/>
    </xf>
    <xf numFmtId="3" fontId="11" fillId="3" borderId="80" xfId="0" applyNumberFormat="1" applyFont="1" applyFill="1" applyBorder="1" applyAlignment="1" applyProtection="1">
      <alignment vertical="top"/>
      <protection locked="0"/>
    </xf>
    <xf numFmtId="3" fontId="11" fillId="0" borderId="83" xfId="0" applyNumberFormat="1" applyFont="1" applyBorder="1" applyAlignment="1" applyProtection="1">
      <alignment vertical="top" wrapText="1"/>
      <protection locked="0"/>
    </xf>
    <xf numFmtId="0" fontId="11" fillId="0" borderId="74" xfId="0" applyFont="1" applyBorder="1" applyAlignment="1" applyProtection="1">
      <alignment vertical="top"/>
      <protection locked="0"/>
    </xf>
    <xf numFmtId="0" fontId="10" fillId="0" borderId="35" xfId="0" applyFont="1" applyBorder="1" applyAlignment="1" applyProtection="1">
      <alignment vertical="top"/>
      <protection locked="0"/>
    </xf>
    <xf numFmtId="0" fontId="11" fillId="0" borderId="35" xfId="0" applyFont="1" applyBorder="1" applyAlignment="1" applyProtection="1">
      <alignment vertical="top"/>
      <protection locked="0"/>
    </xf>
    <xf numFmtId="0" fontId="11" fillId="0" borderId="35" xfId="0" applyFont="1" applyBorder="1" applyAlignment="1" applyProtection="1">
      <alignment vertical="top" wrapText="1"/>
      <protection locked="0"/>
    </xf>
    <xf numFmtId="0" fontId="25" fillId="0" borderId="4" xfId="0" applyFont="1" applyBorder="1" applyAlignment="1" applyProtection="1">
      <alignment horizontal="right" vertical="top"/>
      <protection locked="0"/>
    </xf>
    <xf numFmtId="0" fontId="11" fillId="0" borderId="4" xfId="0" applyFont="1" applyBorder="1" applyAlignment="1" applyProtection="1">
      <alignment vertical="top"/>
      <protection locked="0"/>
    </xf>
    <xf numFmtId="3" fontId="10" fillId="0" borderId="4" xfId="0" applyNumberFormat="1" applyFont="1" applyBorder="1" applyAlignment="1" applyProtection="1">
      <alignment vertical="top"/>
      <protection locked="0"/>
    </xf>
    <xf numFmtId="0" fontId="10" fillId="0" borderId="0" xfId="0" applyFont="1" applyBorder="1" applyAlignment="1" applyProtection="1">
      <alignment horizontal="left" vertical="center"/>
      <protection locked="0"/>
    </xf>
    <xf numFmtId="0" fontId="32" fillId="3" borderId="51" xfId="4" applyFont="1" applyFill="1" applyBorder="1" applyAlignment="1" applyProtection="1">
      <alignment vertical="top" wrapText="1"/>
      <protection locked="0"/>
    </xf>
    <xf numFmtId="4" fontId="32" fillId="3" borderId="34" xfId="4" applyNumberFormat="1" applyFont="1" applyFill="1" applyBorder="1" applyAlignment="1" applyProtection="1">
      <alignment vertical="top" wrapText="1"/>
      <protection locked="0"/>
    </xf>
    <xf numFmtId="4" fontId="32" fillId="3" borderId="30" xfId="4" applyNumberFormat="1" applyFont="1" applyFill="1" applyBorder="1" applyAlignment="1" applyProtection="1">
      <alignment vertical="top" wrapText="1"/>
      <protection locked="0"/>
    </xf>
    <xf numFmtId="0" fontId="32" fillId="3" borderId="52" xfId="4" applyFont="1" applyFill="1" applyBorder="1" applyAlignment="1" applyProtection="1">
      <alignment vertical="top" wrapText="1"/>
      <protection locked="0"/>
    </xf>
    <xf numFmtId="3" fontId="32" fillId="3" borderId="88" xfId="4" applyNumberFormat="1" applyFont="1" applyFill="1" applyBorder="1" applyAlignment="1" applyProtection="1">
      <alignment vertical="top" wrapText="1"/>
      <protection locked="0"/>
    </xf>
    <xf numFmtId="3" fontId="32" fillId="3" borderId="85" xfId="4" applyNumberFormat="1" applyFont="1" applyFill="1" applyBorder="1" applyAlignment="1" applyProtection="1">
      <alignment vertical="top" wrapText="1"/>
      <protection locked="0"/>
    </xf>
    <xf numFmtId="3" fontId="32" fillId="3" borderId="46" xfId="4" applyNumberFormat="1" applyFont="1" applyFill="1" applyBorder="1" applyAlignment="1" applyProtection="1">
      <alignment vertical="top" wrapText="1"/>
      <protection locked="0"/>
    </xf>
    <xf numFmtId="0" fontId="20" fillId="2" borderId="0" xfId="0" applyFont="1" applyFill="1" applyAlignment="1" applyProtection="1">
      <alignment horizontal="left" vertical="center"/>
      <protection locked="0"/>
    </xf>
    <xf numFmtId="0" fontId="33" fillId="2" borderId="0" xfId="0" applyFont="1" applyFill="1" applyAlignment="1" applyProtection="1">
      <alignment vertical="top"/>
      <protection locked="0"/>
    </xf>
    <xf numFmtId="0" fontId="33" fillId="2" borderId="0" xfId="0" applyFont="1" applyFill="1" applyAlignment="1" applyProtection="1">
      <alignment vertical="top" wrapText="1"/>
      <protection locked="0"/>
    </xf>
    <xf numFmtId="0" fontId="14" fillId="2" borderId="0" xfId="0" applyFont="1" applyFill="1" applyAlignment="1" applyProtection="1">
      <alignment vertical="top"/>
      <protection locked="0"/>
    </xf>
    <xf numFmtId="0" fontId="16" fillId="5" borderId="2" xfId="0" applyFont="1" applyFill="1" applyBorder="1" applyAlignment="1" applyProtection="1">
      <alignment vertical="center"/>
      <protection locked="0"/>
    </xf>
    <xf numFmtId="0" fontId="8" fillId="0" borderId="1" xfId="0" applyFont="1" applyBorder="1" applyAlignment="1" applyProtection="1">
      <alignment vertical="top" wrapText="1"/>
      <protection locked="0"/>
    </xf>
    <xf numFmtId="0" fontId="11" fillId="0" borderId="0" xfId="3" applyFont="1" applyFill="1" applyAlignment="1" applyProtection="1">
      <alignment horizontal="left" vertical="center"/>
      <protection locked="0"/>
    </xf>
    <xf numFmtId="0" fontId="8" fillId="5" borderId="2" xfId="0" applyFont="1" applyFill="1" applyBorder="1" applyAlignment="1" applyProtection="1">
      <alignment vertical="center"/>
      <protection locked="0"/>
    </xf>
    <xf numFmtId="0" fontId="11" fillId="0" borderId="1"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0" fillId="3" borderId="1"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0" borderId="9" xfId="0" applyFont="1" applyBorder="1" applyAlignment="1" applyProtection="1">
      <alignment vertical="center"/>
      <protection locked="0"/>
    </xf>
    <xf numFmtId="3" fontId="11" fillId="3" borderId="0" xfId="0" applyNumberFormat="1" applyFont="1" applyFill="1" applyAlignment="1" applyProtection="1">
      <alignment vertical="top"/>
      <protection locked="0"/>
    </xf>
    <xf numFmtId="0" fontId="11" fillId="0" borderId="7" xfId="0" applyFont="1" applyBorder="1" applyAlignment="1" applyProtection="1">
      <alignment horizontal="left" vertical="center" indent="1"/>
      <protection locked="0"/>
    </xf>
    <xf numFmtId="3" fontId="11" fillId="3" borderId="7" xfId="0" applyNumberFormat="1" applyFont="1" applyFill="1" applyBorder="1" applyAlignment="1" applyProtection="1">
      <alignment vertical="top"/>
      <protection locked="0"/>
    </xf>
    <xf numFmtId="3" fontId="11" fillId="0" borderId="7" xfId="0" applyNumberFormat="1" applyFont="1" applyFill="1" applyBorder="1" applyAlignment="1" applyProtection="1">
      <alignment vertical="top"/>
      <protection locked="0"/>
    </xf>
    <xf numFmtId="0" fontId="10" fillId="0" borderId="7" xfId="0" applyFont="1" applyBorder="1" applyAlignment="1" applyProtection="1">
      <alignment vertical="top"/>
      <protection locked="0"/>
    </xf>
    <xf numFmtId="3" fontId="11" fillId="3" borderId="0" xfId="0" applyNumberFormat="1" applyFont="1" applyFill="1" applyBorder="1" applyAlignment="1" applyProtection="1">
      <alignment vertical="top"/>
      <protection locked="0"/>
    </xf>
    <xf numFmtId="3" fontId="11" fillId="0" borderId="0" xfId="0" applyNumberFormat="1" applyFont="1" applyAlignment="1" applyProtection="1">
      <alignment vertical="top"/>
      <protection locked="0"/>
    </xf>
    <xf numFmtId="3" fontId="11" fillId="0" borderId="7" xfId="0" applyNumberFormat="1" applyFont="1" applyBorder="1" applyAlignment="1" applyProtection="1">
      <alignment vertical="top"/>
      <protection locked="0"/>
    </xf>
    <xf numFmtId="3" fontId="11" fillId="0" borderId="0" xfId="0" applyNumberFormat="1" applyFont="1" applyFill="1" applyAlignment="1" applyProtection="1">
      <alignment vertical="top"/>
      <protection locked="0"/>
    </xf>
    <xf numFmtId="0" fontId="11" fillId="3" borderId="7" xfId="0" applyFont="1" applyFill="1" applyBorder="1" applyAlignment="1" applyProtection="1">
      <alignment horizontal="left" vertical="center" indent="1"/>
      <protection locked="0"/>
    </xf>
    <xf numFmtId="0" fontId="7" fillId="0" borderId="9" xfId="0" applyFont="1" applyBorder="1" applyAlignment="1" applyProtection="1">
      <alignment vertical="top" wrapText="1"/>
      <protection locked="0"/>
    </xf>
    <xf numFmtId="3" fontId="7" fillId="0" borderId="2" xfId="0" applyNumberFormat="1" applyFont="1" applyBorder="1" applyAlignment="1" applyProtection="1">
      <alignment vertical="top"/>
    </xf>
    <xf numFmtId="3" fontId="7" fillId="0" borderId="9" xfId="0" applyNumberFormat="1" applyFont="1" applyBorder="1" applyAlignment="1" applyProtection="1">
      <alignment vertical="top"/>
    </xf>
    <xf numFmtId="3" fontId="7" fillId="0" borderId="9" xfId="0" applyNumberFormat="1" applyFont="1" applyFill="1" applyBorder="1" applyAlignment="1" applyProtection="1">
      <alignment vertical="top"/>
    </xf>
    <xf numFmtId="0" fontId="7" fillId="3" borderId="7" xfId="0" applyFont="1" applyFill="1" applyBorder="1" applyAlignment="1" applyProtection="1">
      <alignment vertical="top"/>
      <protection locked="0"/>
    </xf>
    <xf numFmtId="3" fontId="11" fillId="0" borderId="4" xfId="0" applyNumberFormat="1" applyFont="1" applyBorder="1" applyAlignment="1" applyProtection="1">
      <alignment vertical="top"/>
    </xf>
    <xf numFmtId="3" fontId="11" fillId="0" borderId="10" xfId="0" applyNumberFormat="1" applyFont="1" applyFill="1" applyBorder="1" applyAlignment="1" applyProtection="1">
      <alignment vertical="top"/>
    </xf>
    <xf numFmtId="3" fontId="11" fillId="0" borderId="0" xfId="0" applyNumberFormat="1" applyFont="1" applyAlignment="1" applyProtection="1">
      <alignment vertical="top"/>
    </xf>
    <xf numFmtId="3" fontId="11" fillId="0" borderId="7" xfId="0" applyNumberFormat="1" applyFont="1" applyFill="1" applyBorder="1" applyAlignment="1" applyProtection="1">
      <alignment vertical="top"/>
    </xf>
    <xf numFmtId="3" fontId="11" fillId="0" borderId="0" xfId="0" applyNumberFormat="1" applyFont="1" applyBorder="1" applyAlignment="1" applyProtection="1">
      <alignment vertical="top"/>
      <protection locked="0"/>
    </xf>
    <xf numFmtId="3" fontId="11" fillId="0" borderId="4" xfId="0" applyNumberFormat="1" applyFont="1" applyBorder="1" applyAlignment="1" applyProtection="1">
      <alignment vertical="top"/>
      <protection locked="0"/>
    </xf>
    <xf numFmtId="0" fontId="7" fillId="0" borderId="1" xfId="0" applyFont="1" applyBorder="1" applyProtection="1">
      <protection locked="0"/>
    </xf>
    <xf numFmtId="0" fontId="8" fillId="0" borderId="1" xfId="0" applyFont="1" applyBorder="1" applyProtection="1">
      <protection locked="0"/>
    </xf>
    <xf numFmtId="9" fontId="8" fillId="3" borderId="7" xfId="0" quotePrefix="1" applyNumberFormat="1" applyFont="1" applyFill="1" applyBorder="1" applyAlignment="1" applyProtection="1">
      <alignment horizontal="right"/>
      <protection locked="0"/>
    </xf>
    <xf numFmtId="3" fontId="8" fillId="0" borderId="0" xfId="0" applyNumberFormat="1" applyFont="1" applyProtection="1"/>
    <xf numFmtId="0" fontId="8" fillId="0" borderId="3" xfId="0" applyFont="1" applyBorder="1" applyProtection="1">
      <protection locked="0"/>
    </xf>
    <xf numFmtId="0" fontId="8" fillId="0" borderId="28" xfId="0" applyFont="1" applyBorder="1" applyProtection="1">
      <protection locked="0"/>
    </xf>
    <xf numFmtId="3" fontId="7" fillId="0" borderId="3" xfId="0" applyNumberFormat="1" applyFont="1" applyBorder="1" applyProtection="1"/>
    <xf numFmtId="0" fontId="11" fillId="0" borderId="0" xfId="3" applyFont="1" applyFill="1" applyAlignment="1" applyProtection="1">
      <alignment horizontal="left" vertical="center" wrapText="1"/>
      <protection locked="0"/>
    </xf>
    <xf numFmtId="0" fontId="8" fillId="0" borderId="0" xfId="0" applyFont="1" applyAlignment="1" applyProtection="1">
      <alignment wrapText="1"/>
      <protection locked="0"/>
    </xf>
    <xf numFmtId="0" fontId="11" fillId="0" borderId="0" xfId="0" applyFont="1" applyAlignment="1" applyProtection="1">
      <alignment wrapText="1"/>
      <protection locked="0"/>
    </xf>
    <xf numFmtId="0" fontId="7" fillId="0" borderId="2" xfId="0" applyFont="1" applyBorder="1" applyAlignment="1" applyProtection="1">
      <alignment vertical="center"/>
      <protection locked="0"/>
    </xf>
    <xf numFmtId="0" fontId="7" fillId="0" borderId="9" xfId="0" applyFont="1" applyBorder="1" applyAlignment="1" applyProtection="1">
      <alignment vertical="center"/>
      <protection locked="0"/>
    </xf>
    <xf numFmtId="3" fontId="7" fillId="0" borderId="2" xfId="0" applyNumberFormat="1" applyFont="1" applyBorder="1" applyAlignment="1" applyProtection="1">
      <alignment vertical="center"/>
      <protection locked="0"/>
    </xf>
    <xf numFmtId="3" fontId="7" fillId="0" borderId="9" xfId="0" applyNumberFormat="1" applyFont="1" applyBorder="1" applyAlignment="1" applyProtection="1">
      <alignment vertical="center"/>
      <protection locked="0"/>
    </xf>
    <xf numFmtId="3" fontId="7" fillId="0" borderId="9" xfId="0" applyNumberFormat="1" applyFont="1" applyFill="1" applyBorder="1" applyAlignment="1" applyProtection="1">
      <alignment vertical="center"/>
      <protection locked="0"/>
    </xf>
    <xf numFmtId="9" fontId="8" fillId="0" borderId="2" xfId="1" applyFont="1" applyBorder="1" applyAlignment="1" applyProtection="1">
      <alignment vertical="center"/>
      <protection locked="0"/>
    </xf>
    <xf numFmtId="0" fontId="25" fillId="2" borderId="2" xfId="0" applyFont="1" applyFill="1" applyBorder="1" applyAlignment="1" applyProtection="1">
      <alignment horizontal="right" vertical="center"/>
      <protection locked="0"/>
    </xf>
    <xf numFmtId="0" fontId="25" fillId="2" borderId="9" xfId="0" applyFont="1" applyFill="1" applyBorder="1" applyAlignment="1" applyProtection="1">
      <alignment horizontal="right" vertical="center"/>
      <protection locked="0"/>
    </xf>
    <xf numFmtId="3" fontId="25" fillId="2" borderId="2" xfId="0" applyNumberFormat="1" applyFont="1" applyFill="1" applyBorder="1" applyAlignment="1" applyProtection="1">
      <alignment vertical="center"/>
    </xf>
    <xf numFmtId="3" fontId="25" fillId="2" borderId="9" xfId="0" applyNumberFormat="1" applyFont="1" applyFill="1" applyBorder="1" applyAlignment="1" applyProtection="1">
      <alignment vertical="center"/>
    </xf>
    <xf numFmtId="0" fontId="19" fillId="5" borderId="2" xfId="0" applyFont="1" applyFill="1" applyBorder="1" applyAlignment="1" applyProtection="1">
      <alignment vertical="center" wrapText="1"/>
      <protection locked="0"/>
    </xf>
    <xf numFmtId="0" fontId="19" fillId="0" borderId="0" xfId="0" applyFont="1" applyAlignment="1" applyProtection="1">
      <alignment vertical="top"/>
      <protection locked="0"/>
    </xf>
    <xf numFmtId="0" fontId="12" fillId="0" borderId="0" xfId="0" applyFont="1" applyAlignment="1" applyProtection="1">
      <alignment vertical="top"/>
      <protection locked="0"/>
    </xf>
    <xf numFmtId="0" fontId="19" fillId="0" borderId="0" xfId="0" applyFont="1" applyAlignment="1" applyProtection="1">
      <alignment vertical="center"/>
      <protection locked="0"/>
    </xf>
    <xf numFmtId="0" fontId="12" fillId="0" borderId="0" xfId="0" applyFont="1" applyAlignment="1" applyProtection="1">
      <alignment vertical="center"/>
      <protection locked="0"/>
    </xf>
    <xf numFmtId="0" fontId="10" fillId="0" borderId="19" xfId="0" applyFont="1" applyFill="1" applyBorder="1" applyAlignment="1" applyProtection="1">
      <alignment vertical="top" wrapText="1"/>
      <protection locked="0"/>
    </xf>
    <xf numFmtId="0" fontId="10" fillId="0" borderId="46" xfId="0" applyFont="1" applyFill="1" applyBorder="1" applyAlignment="1" applyProtection="1">
      <alignment vertical="top" wrapText="1"/>
      <protection locked="0"/>
    </xf>
    <xf numFmtId="3" fontId="10" fillId="0" borderId="45" xfId="0" applyNumberFormat="1" applyFont="1" applyFill="1" applyBorder="1" applyAlignment="1" applyProtection="1">
      <alignment vertical="top" wrapText="1"/>
      <protection locked="0"/>
    </xf>
    <xf numFmtId="3" fontId="10" fillId="0" borderId="44" xfId="0" applyNumberFormat="1" applyFont="1" applyFill="1" applyBorder="1" applyAlignment="1" applyProtection="1">
      <alignment vertical="top" wrapText="1"/>
      <protection locked="0"/>
    </xf>
    <xf numFmtId="164" fontId="11" fillId="3" borderId="36" xfId="1" applyNumberFormat="1" applyFont="1" applyFill="1" applyBorder="1" applyAlignment="1" applyProtection="1">
      <alignment horizontal="right" vertical="top"/>
      <protection locked="0"/>
    </xf>
    <xf numFmtId="0" fontId="11" fillId="3" borderId="17" xfId="0" applyFont="1" applyFill="1" applyBorder="1" applyAlignment="1" applyProtection="1">
      <alignment vertical="top" wrapText="1"/>
      <protection locked="0"/>
    </xf>
    <xf numFmtId="3" fontId="10" fillId="3" borderId="17" xfId="0" applyNumberFormat="1" applyFont="1" applyFill="1" applyBorder="1" applyAlignment="1" applyProtection="1">
      <alignment vertical="top"/>
      <protection locked="0"/>
    </xf>
    <xf numFmtId="0" fontId="11" fillId="4" borderId="22" xfId="0" applyFont="1" applyFill="1" applyBorder="1" applyAlignment="1" applyProtection="1">
      <alignment vertical="top" wrapText="1"/>
      <protection locked="0"/>
    </xf>
    <xf numFmtId="3" fontId="11" fillId="0" borderId="22" xfId="0" applyNumberFormat="1" applyFont="1" applyBorder="1" applyAlignment="1" applyProtection="1">
      <alignment vertical="top"/>
    </xf>
    <xf numFmtId="3" fontId="11" fillId="3" borderId="43" xfId="0" applyNumberFormat="1" applyFont="1" applyFill="1" applyBorder="1" applyAlignment="1" applyProtection="1">
      <alignment vertical="top"/>
      <protection locked="0"/>
    </xf>
    <xf numFmtId="3" fontId="10" fillId="0" borderId="65" xfId="0" applyNumberFormat="1" applyFont="1" applyFill="1" applyBorder="1" applyAlignment="1" applyProtection="1">
      <alignment vertical="top"/>
    </xf>
    <xf numFmtId="10" fontId="11" fillId="0" borderId="22" xfId="1" applyNumberFormat="1" applyFont="1" applyFill="1" applyBorder="1" applyAlignment="1" applyProtection="1">
      <alignment vertical="top" wrapText="1"/>
    </xf>
    <xf numFmtId="164" fontId="11" fillId="0" borderId="22" xfId="1" applyNumberFormat="1" applyFont="1" applyFill="1" applyBorder="1" applyAlignment="1" applyProtection="1">
      <alignment vertical="top" wrapText="1"/>
    </xf>
    <xf numFmtId="9" fontId="11" fillId="0" borderId="22" xfId="1" applyFont="1" applyFill="1" applyBorder="1" applyAlignment="1" applyProtection="1">
      <alignment vertical="top" wrapText="1"/>
    </xf>
    <xf numFmtId="3" fontId="11" fillId="3" borderId="22" xfId="0" applyNumberFormat="1" applyFont="1" applyFill="1" applyBorder="1" applyAlignment="1" applyProtection="1">
      <alignment vertical="top" wrapText="1"/>
      <protection locked="0"/>
    </xf>
    <xf numFmtId="164" fontId="11" fillId="3" borderId="22" xfId="1" applyNumberFormat="1" applyFont="1" applyFill="1" applyBorder="1" applyAlignment="1" applyProtection="1">
      <alignment horizontal="right" vertical="top"/>
      <protection locked="0"/>
    </xf>
    <xf numFmtId="164" fontId="11" fillId="0" borderId="22" xfId="1" applyNumberFormat="1" applyFont="1" applyFill="1" applyBorder="1" applyAlignment="1" applyProtection="1">
      <alignment vertical="top" wrapText="1"/>
      <protection locked="0"/>
    </xf>
    <xf numFmtId="3" fontId="10" fillId="0" borderId="43" xfId="0" applyNumberFormat="1" applyFont="1" applyFill="1" applyBorder="1" applyAlignment="1" applyProtection="1">
      <alignment vertical="top" wrapText="1"/>
      <protection locked="0"/>
    </xf>
    <xf numFmtId="3" fontId="10" fillId="0" borderId="17" xfId="0" applyNumberFormat="1" applyFont="1" applyFill="1" applyBorder="1" applyAlignment="1" applyProtection="1">
      <alignment vertical="top" wrapText="1"/>
      <protection locked="0"/>
    </xf>
    <xf numFmtId="3" fontId="11" fillId="3" borderId="17" xfId="0" applyNumberFormat="1" applyFont="1" applyFill="1" applyBorder="1" applyAlignment="1" applyProtection="1">
      <alignment vertical="top"/>
      <protection locked="0"/>
    </xf>
    <xf numFmtId="3" fontId="10" fillId="0" borderId="65" xfId="0" applyNumberFormat="1" applyFont="1" applyBorder="1" applyAlignment="1" applyProtection="1">
      <alignment vertical="top"/>
      <protection locked="0"/>
    </xf>
    <xf numFmtId="3" fontId="11" fillId="0" borderId="65" xfId="0" applyNumberFormat="1"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10" fillId="0" borderId="26"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3" fontId="10" fillId="3" borderId="22" xfId="1" applyNumberFormat="1" applyFont="1" applyFill="1" applyBorder="1" applyAlignment="1" applyProtection="1">
      <alignment horizontal="right" vertical="top"/>
      <protection locked="0"/>
    </xf>
    <xf numFmtId="3" fontId="10" fillId="3" borderId="36" xfId="1" applyNumberFormat="1" applyFont="1" applyFill="1" applyBorder="1" applyAlignment="1" applyProtection="1">
      <alignment horizontal="right" vertical="top"/>
      <protection locked="0"/>
    </xf>
    <xf numFmtId="0" fontId="4" fillId="0" borderId="0" xfId="0" applyFont="1" applyAlignment="1">
      <alignment vertical="top"/>
    </xf>
    <xf numFmtId="0" fontId="36" fillId="0" borderId="0" xfId="0" applyFont="1" applyAlignment="1">
      <alignment vertical="top"/>
    </xf>
    <xf numFmtId="0" fontId="3" fillId="0" borderId="0" xfId="0" applyFont="1" applyAlignment="1">
      <alignment vertical="top"/>
    </xf>
    <xf numFmtId="9" fontId="3" fillId="0" borderId="0" xfId="0" applyNumberFormat="1" applyFont="1" applyAlignment="1">
      <alignment vertical="top"/>
    </xf>
    <xf numFmtId="3" fontId="3" fillId="0" borderId="0" xfId="0" applyNumberFormat="1" applyFont="1" applyAlignment="1">
      <alignment vertical="top"/>
    </xf>
    <xf numFmtId="0" fontId="3" fillId="0" borderId="1" xfId="0" applyFont="1" applyBorder="1" applyAlignment="1">
      <alignment vertical="top"/>
    </xf>
    <xf numFmtId="9" fontId="3" fillId="0" borderId="1" xfId="0" applyNumberFormat="1" applyFont="1" applyBorder="1" applyAlignment="1">
      <alignment vertical="top"/>
    </xf>
    <xf numFmtId="3" fontId="3" fillId="0" borderId="1" xfId="0" applyNumberFormat="1" applyFont="1" applyBorder="1" applyAlignment="1">
      <alignment vertical="top"/>
    </xf>
    <xf numFmtId="3" fontId="37" fillId="0" borderId="0" xfId="0" applyNumberFormat="1" applyFont="1" applyAlignment="1">
      <alignment vertical="top"/>
    </xf>
    <xf numFmtId="3" fontId="37" fillId="0" borderId="1" xfId="0" applyNumberFormat="1" applyFont="1" applyBorder="1" applyAlignment="1">
      <alignment vertical="top"/>
    </xf>
    <xf numFmtId="0" fontId="3" fillId="0" borderId="7" xfId="0" applyFont="1" applyBorder="1" applyAlignment="1">
      <alignment vertical="top" wrapText="1"/>
    </xf>
    <xf numFmtId="9" fontId="3" fillId="0" borderId="1" xfId="1" applyFont="1" applyBorder="1" applyAlignment="1">
      <alignment vertical="top"/>
    </xf>
    <xf numFmtId="9" fontId="3" fillId="0" borderId="0" xfId="1" applyFont="1" applyAlignment="1">
      <alignment vertical="top"/>
    </xf>
    <xf numFmtId="0" fontId="8" fillId="0" borderId="0" xfId="0" applyFont="1" applyAlignment="1">
      <alignment horizontal="left" vertical="top" wrapText="1"/>
    </xf>
    <xf numFmtId="0" fontId="3" fillId="0" borderId="9" xfId="0" applyFont="1" applyBorder="1" applyAlignment="1">
      <alignment vertical="top" wrapText="1"/>
    </xf>
    <xf numFmtId="0" fontId="3" fillId="0" borderId="2" xfId="0" applyFont="1" applyBorder="1" applyAlignment="1">
      <alignment vertical="top"/>
    </xf>
    <xf numFmtId="9" fontId="3" fillId="0" borderId="2" xfId="0" applyNumberFormat="1" applyFont="1" applyBorder="1" applyAlignment="1">
      <alignment vertical="top"/>
    </xf>
    <xf numFmtId="3" fontId="3" fillId="0" borderId="2" xfId="0" applyNumberFormat="1" applyFont="1" applyBorder="1" applyAlignment="1">
      <alignment vertical="top"/>
    </xf>
    <xf numFmtId="3" fontId="37" fillId="0" borderId="2" xfId="0" applyNumberFormat="1" applyFont="1" applyBorder="1" applyAlignment="1">
      <alignment vertical="top"/>
    </xf>
    <xf numFmtId="9" fontId="3" fillId="0" borderId="2" xfId="1" applyFont="1" applyBorder="1" applyAlignment="1">
      <alignment vertical="top"/>
    </xf>
    <xf numFmtId="9" fontId="11" fillId="0" borderId="69" xfId="1" applyFont="1" applyFill="1" applyBorder="1" applyAlignment="1" applyProtection="1">
      <alignment vertical="top" wrapText="1"/>
    </xf>
    <xf numFmtId="0" fontId="38" fillId="0" borderId="2" xfId="0" applyFont="1" applyBorder="1" applyAlignment="1">
      <alignment vertical="center" wrapText="1"/>
    </xf>
    <xf numFmtId="0" fontId="24" fillId="3" borderId="1" xfId="0" applyFont="1" applyFill="1" applyBorder="1" applyAlignment="1">
      <alignment vertical="top" wrapText="1"/>
    </xf>
    <xf numFmtId="0" fontId="11" fillId="4" borderId="41" xfId="0" applyFont="1" applyFill="1" applyBorder="1" applyAlignment="1" applyProtection="1">
      <alignment vertical="center" wrapText="1"/>
      <protection locked="0"/>
    </xf>
    <xf numFmtId="3" fontId="11" fillId="0" borderId="9" xfId="0" applyNumberFormat="1" applyFont="1" applyBorder="1" applyAlignment="1" applyProtection="1">
      <alignment vertical="top"/>
    </xf>
    <xf numFmtId="0" fontId="37" fillId="0" borderId="1" xfId="0" applyFont="1" applyBorder="1" applyAlignment="1">
      <alignment vertical="top" wrapText="1"/>
    </xf>
    <xf numFmtId="0" fontId="37" fillId="0" borderId="1" xfId="0" applyFont="1" applyBorder="1" applyAlignment="1">
      <alignment vertical="top"/>
    </xf>
    <xf numFmtId="164" fontId="3" fillId="0" borderId="0" xfId="0" applyNumberFormat="1" applyFont="1" applyAlignment="1">
      <alignment vertical="top"/>
    </xf>
    <xf numFmtId="164" fontId="3" fillId="0" borderId="2" xfId="0" applyNumberFormat="1" applyFont="1" applyBorder="1" applyAlignment="1">
      <alignment vertical="top"/>
    </xf>
    <xf numFmtId="3" fontId="3" fillId="0" borderId="2" xfId="0" applyNumberFormat="1" applyFont="1" applyBorder="1" applyAlignment="1">
      <alignment vertical="top" wrapText="1"/>
    </xf>
    <xf numFmtId="3" fontId="10" fillId="0" borderId="65" xfId="0" applyNumberFormat="1" applyFont="1" applyFill="1" applyBorder="1" applyAlignment="1" applyProtection="1">
      <alignment vertical="top" wrapText="1"/>
    </xf>
    <xf numFmtId="3" fontId="10" fillId="0" borderId="83" xfId="0" applyNumberFormat="1" applyFont="1" applyFill="1" applyBorder="1" applyAlignment="1" applyProtection="1">
      <alignment vertical="top" wrapText="1"/>
    </xf>
    <xf numFmtId="0" fontId="15" fillId="0" borderId="0" xfId="0" applyFont="1" applyAlignment="1">
      <alignment horizontal="left" vertical="top"/>
    </xf>
    <xf numFmtId="3" fontId="11" fillId="0" borderId="20" xfId="0" applyNumberFormat="1" applyFont="1" applyBorder="1" applyAlignment="1" applyProtection="1">
      <alignment vertical="top"/>
    </xf>
    <xf numFmtId="0" fontId="10" fillId="0" borderId="19" xfId="0" applyFont="1" applyBorder="1" applyAlignment="1" applyProtection="1">
      <alignment vertical="top" wrapText="1"/>
      <protection locked="0"/>
    </xf>
    <xf numFmtId="0" fontId="10" fillId="0" borderId="38" xfId="0" applyFont="1" applyBorder="1" applyAlignment="1" applyProtection="1">
      <alignment horizontal="left" vertical="top" textRotation="90" wrapText="1"/>
      <protection locked="0"/>
    </xf>
    <xf numFmtId="0" fontId="11" fillId="0" borderId="85" xfId="0" applyFont="1" applyFill="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3" fontId="11" fillId="0" borderId="92" xfId="0" applyNumberFormat="1" applyFont="1" applyBorder="1" applyAlignment="1" applyProtection="1">
      <alignment vertical="top" wrapText="1"/>
    </xf>
    <xf numFmtId="3" fontId="11" fillId="0" borderId="21" xfId="0" applyNumberFormat="1" applyFont="1" applyBorder="1" applyAlignment="1" applyProtection="1">
      <alignment vertical="top"/>
    </xf>
    <xf numFmtId="3" fontId="10" fillId="0" borderId="64" xfId="0" applyNumberFormat="1" applyFont="1" applyFill="1" applyBorder="1" applyAlignment="1" applyProtection="1">
      <alignment vertical="top"/>
    </xf>
    <xf numFmtId="164" fontId="11" fillId="0" borderId="21" xfId="1" applyNumberFormat="1" applyFont="1" applyFill="1" applyBorder="1" applyAlignment="1" applyProtection="1">
      <alignment vertical="top" wrapText="1"/>
    </xf>
    <xf numFmtId="9" fontId="11" fillId="0" borderId="21" xfId="1" applyFont="1" applyFill="1" applyBorder="1" applyAlignment="1" applyProtection="1">
      <alignment vertical="top" wrapText="1"/>
    </xf>
    <xf numFmtId="3" fontId="10" fillId="3" borderId="37" xfId="1" applyNumberFormat="1" applyFont="1" applyFill="1" applyBorder="1" applyAlignment="1" applyProtection="1">
      <alignment horizontal="right" vertical="top"/>
      <protection locked="0"/>
    </xf>
    <xf numFmtId="164" fontId="11" fillId="3" borderId="21" xfId="1" applyNumberFormat="1" applyFont="1" applyFill="1" applyBorder="1" applyAlignment="1" applyProtection="1">
      <alignment horizontal="right" vertical="top"/>
      <protection locked="0"/>
    </xf>
    <xf numFmtId="3" fontId="10" fillId="0" borderId="30" xfId="0" applyNumberFormat="1" applyFont="1" applyFill="1" applyBorder="1" applyAlignment="1" applyProtection="1">
      <alignment vertical="top" wrapText="1"/>
      <protection locked="0"/>
    </xf>
    <xf numFmtId="3" fontId="10" fillId="0" borderId="11" xfId="0" applyNumberFormat="1" applyFont="1" applyFill="1" applyBorder="1" applyAlignment="1" applyProtection="1">
      <alignment vertical="top" wrapText="1"/>
      <protection locked="0"/>
    </xf>
    <xf numFmtId="3" fontId="11" fillId="0" borderId="18" xfId="0" applyNumberFormat="1" applyFont="1" applyFill="1" applyBorder="1" applyAlignment="1" applyProtection="1">
      <alignment vertical="top"/>
    </xf>
    <xf numFmtId="0" fontId="11" fillId="0" borderId="18" xfId="0" applyFont="1" applyFill="1" applyBorder="1" applyAlignment="1" applyProtection="1">
      <alignment vertical="top" wrapText="1"/>
      <protection locked="0"/>
    </xf>
    <xf numFmtId="3" fontId="11" fillId="0" borderId="62" xfId="0" applyNumberFormat="1" applyFont="1" applyFill="1" applyBorder="1" applyAlignment="1" applyProtection="1">
      <alignment vertical="top" wrapText="1"/>
    </xf>
    <xf numFmtId="3" fontId="10" fillId="10" borderId="63" xfId="0" applyNumberFormat="1" applyFont="1" applyFill="1" applyBorder="1" applyAlignment="1" applyProtection="1">
      <alignment vertical="top"/>
    </xf>
    <xf numFmtId="10" fontId="11" fillId="10" borderId="18" xfId="1" applyNumberFormat="1" applyFont="1" applyFill="1" applyBorder="1" applyAlignment="1" applyProtection="1">
      <alignment vertical="top" wrapText="1"/>
    </xf>
    <xf numFmtId="3" fontId="10" fillId="10" borderId="14" xfId="0" applyNumberFormat="1" applyFont="1" applyFill="1" applyBorder="1" applyAlignment="1" applyProtection="1">
      <alignment vertical="top"/>
      <protection locked="0"/>
    </xf>
    <xf numFmtId="164" fontId="11" fillId="10" borderId="18" xfId="1" applyNumberFormat="1" applyFont="1" applyFill="1" applyBorder="1" applyAlignment="1" applyProtection="1">
      <alignment horizontal="right" vertical="top"/>
      <protection locked="0"/>
    </xf>
    <xf numFmtId="3" fontId="10" fillId="10" borderId="32" xfId="0" applyNumberFormat="1" applyFont="1" applyFill="1" applyBorder="1" applyAlignment="1" applyProtection="1">
      <alignment vertical="top" wrapText="1"/>
      <protection locked="0"/>
    </xf>
    <xf numFmtId="9" fontId="10" fillId="10" borderId="28" xfId="1" applyFont="1" applyFill="1" applyBorder="1" applyAlignment="1" applyProtection="1">
      <alignment vertical="top"/>
    </xf>
    <xf numFmtId="0" fontId="11" fillId="10" borderId="18" xfId="0" applyFont="1" applyFill="1" applyBorder="1" applyAlignment="1" applyProtection="1">
      <alignment vertical="top" wrapText="1"/>
      <protection locked="0"/>
    </xf>
    <xf numFmtId="164" fontId="11" fillId="10" borderId="63" xfId="1" applyNumberFormat="1" applyFont="1" applyFill="1" applyBorder="1" applyAlignment="1" applyProtection="1">
      <alignment vertical="top" wrapText="1"/>
    </xf>
    <xf numFmtId="0" fontId="7" fillId="0" borderId="85" xfId="0" applyFont="1"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1" fillId="0" borderId="36" xfId="0" applyFont="1" applyFill="1" applyBorder="1" applyAlignment="1" applyProtection="1">
      <alignment vertical="top" wrapText="1"/>
      <protection locked="0"/>
    </xf>
    <xf numFmtId="0" fontId="11" fillId="0" borderId="37" xfId="0" applyFont="1" applyFill="1" applyBorder="1" applyAlignment="1" applyProtection="1">
      <alignment vertical="top" wrapText="1"/>
      <protection locked="0"/>
    </xf>
    <xf numFmtId="0" fontId="10" fillId="0" borderId="3" xfId="0" applyFont="1" applyFill="1" applyBorder="1" applyAlignment="1" applyProtection="1">
      <alignment vertical="top"/>
      <protection locked="0"/>
    </xf>
    <xf numFmtId="10" fontId="10" fillId="10" borderId="18" xfId="1" applyNumberFormat="1" applyFont="1" applyFill="1" applyBorder="1" applyAlignment="1" applyProtection="1">
      <alignment vertical="top" wrapText="1"/>
    </xf>
    <xf numFmtId="10" fontId="11" fillId="10" borderId="18" xfId="1" applyNumberFormat="1" applyFont="1" applyFill="1" applyBorder="1" applyAlignment="1" applyProtection="1">
      <alignment vertical="top" wrapText="1"/>
      <protection locked="0"/>
    </xf>
    <xf numFmtId="0" fontId="10" fillId="0" borderId="38" xfId="0" applyFont="1" applyBorder="1" applyAlignment="1" applyProtection="1">
      <alignment vertical="top" wrapText="1"/>
      <protection locked="0"/>
    </xf>
    <xf numFmtId="3" fontId="10" fillId="3" borderId="52" xfId="0" applyNumberFormat="1" applyFont="1" applyFill="1" applyBorder="1" applyAlignment="1" applyProtection="1">
      <alignment vertical="top"/>
      <protection locked="0"/>
    </xf>
    <xf numFmtId="3" fontId="7" fillId="0" borderId="7" xfId="0" applyNumberFormat="1" applyFont="1" applyFill="1" applyBorder="1" applyAlignment="1" applyProtection="1">
      <alignment vertical="top"/>
    </xf>
    <xf numFmtId="3" fontId="7" fillId="0" borderId="9" xfId="0" applyNumberFormat="1" applyFont="1" applyFill="1" applyBorder="1" applyAlignment="1" applyProtection="1">
      <alignment vertical="center" wrapText="1"/>
      <protection locked="0"/>
    </xf>
    <xf numFmtId="0" fontId="8" fillId="0" borderId="4" xfId="0" applyFont="1" applyBorder="1" applyAlignment="1">
      <alignment vertical="top"/>
    </xf>
    <xf numFmtId="0" fontId="8" fillId="0" borderId="10" xfId="0" applyFont="1" applyBorder="1" applyAlignment="1">
      <alignment vertical="top"/>
    </xf>
    <xf numFmtId="0" fontId="8" fillId="0" borderId="48" xfId="0" applyFont="1" applyBorder="1" applyAlignment="1">
      <alignment vertical="top"/>
    </xf>
    <xf numFmtId="0" fontId="8" fillId="0" borderId="0" xfId="0" applyFont="1" applyBorder="1" applyAlignment="1">
      <alignment vertical="top"/>
    </xf>
    <xf numFmtId="0" fontId="8" fillId="0" borderId="1" xfId="0" applyFont="1" applyBorder="1" applyAlignment="1">
      <alignment vertical="top"/>
    </xf>
    <xf numFmtId="0" fontId="8" fillId="0" borderId="93" xfId="0" applyFont="1" applyBorder="1" applyAlignment="1">
      <alignment vertical="top"/>
    </xf>
    <xf numFmtId="0" fontId="32" fillId="3" borderId="95" xfId="4" applyFont="1" applyFill="1" applyBorder="1" applyAlignment="1" applyProtection="1">
      <alignment vertical="top" wrapText="1"/>
      <protection locked="0"/>
    </xf>
    <xf numFmtId="0" fontId="7" fillId="0" borderId="48" xfId="0" applyFont="1" applyBorder="1" applyAlignment="1">
      <alignment vertical="top"/>
    </xf>
    <xf numFmtId="0" fontId="7" fillId="0" borderId="94" xfId="0" applyFont="1" applyBorder="1" applyAlignment="1">
      <alignment vertical="top"/>
    </xf>
    <xf numFmtId="0" fontId="39" fillId="0" borderId="0" xfId="0" applyFont="1" applyBorder="1" applyAlignment="1">
      <alignment horizontal="left" vertical="top"/>
    </xf>
    <xf numFmtId="0" fontId="20" fillId="0" borderId="67" xfId="0" applyFont="1" applyBorder="1" applyAlignment="1">
      <alignment vertical="top"/>
    </xf>
    <xf numFmtId="0" fontId="20" fillId="0" borderId="4" xfId="0" applyFont="1" applyBorder="1" applyAlignment="1">
      <alignment vertical="top"/>
    </xf>
    <xf numFmtId="3" fontId="8" fillId="0" borderId="0" xfId="0" applyNumberFormat="1" applyFont="1" applyAlignment="1">
      <alignment vertical="top"/>
    </xf>
    <xf numFmtId="0" fontId="8" fillId="0" borderId="0" xfId="0" applyFont="1" applyBorder="1" applyAlignment="1">
      <alignment horizontal="left" vertical="top" wrapText="1"/>
    </xf>
    <xf numFmtId="3" fontId="11" fillId="0" borderId="69" xfId="0" applyNumberFormat="1" applyFont="1" applyBorder="1" applyAlignment="1" applyProtection="1">
      <alignment vertical="top"/>
    </xf>
    <xf numFmtId="0" fontId="35" fillId="0" borderId="0" xfId="0" applyFont="1" applyFill="1" applyAlignment="1" applyProtection="1">
      <alignment horizontal="left" vertical="top" wrapText="1"/>
      <protection locked="0"/>
    </xf>
    <xf numFmtId="0" fontId="11" fillId="0" borderId="0" xfId="0" applyFont="1" applyBorder="1" applyAlignment="1" applyProtection="1">
      <alignment horizontal="left" vertical="center"/>
      <protection locked="0"/>
    </xf>
    <xf numFmtId="3" fontId="11" fillId="0" borderId="0" xfId="0" applyNumberFormat="1" applyFont="1" applyBorder="1" applyAlignment="1" applyProtection="1">
      <alignment horizontal="right" vertical="center" wrapText="1"/>
      <protection locked="0"/>
    </xf>
    <xf numFmtId="0" fontId="35" fillId="0" borderId="0" xfId="0" applyFont="1" applyFill="1" applyBorder="1" applyAlignment="1" applyProtection="1">
      <alignment horizontal="left" vertical="top" wrapText="1"/>
      <protection locked="0"/>
    </xf>
    <xf numFmtId="3" fontId="11" fillId="0" borderId="1" xfId="0" applyNumberFormat="1" applyFont="1" applyBorder="1" applyAlignment="1" applyProtection="1">
      <alignment vertical="top" wrapText="1"/>
      <protection locked="0"/>
    </xf>
    <xf numFmtId="3" fontId="10" fillId="0" borderId="74" xfId="0" applyNumberFormat="1" applyFont="1" applyBorder="1" applyAlignment="1" applyProtection="1">
      <alignment vertical="top"/>
      <protection locked="0"/>
    </xf>
    <xf numFmtId="3" fontId="11" fillId="0" borderId="74" xfId="0" applyNumberFormat="1" applyFont="1" applyBorder="1" applyProtection="1">
      <protection locked="0"/>
    </xf>
    <xf numFmtId="164" fontId="11" fillId="0" borderId="74" xfId="1" applyNumberFormat="1" applyFont="1" applyBorder="1" applyProtection="1">
      <protection locked="0"/>
    </xf>
    <xf numFmtId="3" fontId="10" fillId="0" borderId="75" xfId="0" applyNumberFormat="1" applyFont="1" applyBorder="1" applyProtection="1">
      <protection locked="0"/>
    </xf>
    <xf numFmtId="3" fontId="11" fillId="0" borderId="75" xfId="0" applyNumberFormat="1" applyFont="1" applyBorder="1" applyAlignment="1" applyProtection="1">
      <alignment vertical="top" wrapText="1"/>
      <protection locked="0"/>
    </xf>
    <xf numFmtId="3" fontId="10" fillId="0" borderId="0" xfId="0" applyNumberFormat="1" applyFont="1" applyBorder="1" applyAlignment="1" applyProtection="1">
      <alignment horizontal="left" vertical="center"/>
      <protection locked="0"/>
    </xf>
    <xf numFmtId="3" fontId="9" fillId="0" borderId="0" xfId="0" applyNumberFormat="1" applyFont="1" applyBorder="1" applyAlignment="1" applyProtection="1">
      <alignment horizontal="left" vertical="center"/>
      <protection locked="0"/>
    </xf>
    <xf numFmtId="164" fontId="11" fillId="0" borderId="0" xfId="1" applyNumberFormat="1" applyFont="1" applyBorder="1" applyAlignment="1" applyProtection="1">
      <alignment horizontal="left" vertical="center"/>
      <protection locked="0"/>
    </xf>
    <xf numFmtId="0" fontId="16" fillId="5" borderId="2" xfId="0" applyFont="1" applyFill="1" applyBorder="1" applyAlignment="1" applyProtection="1">
      <alignment vertical="center" wrapText="1"/>
      <protection locked="0"/>
    </xf>
    <xf numFmtId="3" fontId="10" fillId="0" borderId="7" xfId="0" applyNumberFormat="1" applyFont="1" applyBorder="1" applyAlignment="1" applyProtection="1">
      <alignment horizontal="left" vertical="center"/>
      <protection locked="0"/>
    </xf>
    <xf numFmtId="3" fontId="11" fillId="0" borderId="21" xfId="0" applyNumberFormat="1" applyFont="1" applyBorder="1" applyAlignment="1" applyProtection="1">
      <alignment horizontal="right" vertical="center" wrapText="1"/>
      <protection locked="0"/>
    </xf>
    <xf numFmtId="3" fontId="10" fillId="0" borderId="3" xfId="0" applyNumberFormat="1" applyFont="1" applyBorder="1" applyAlignment="1" applyProtection="1">
      <alignment horizontal="left" vertical="center"/>
      <protection locked="0"/>
    </xf>
    <xf numFmtId="164" fontId="11" fillId="0" borderId="3" xfId="1" applyNumberFormat="1" applyFont="1" applyBorder="1" applyAlignment="1" applyProtection="1">
      <alignment horizontal="left" vertical="center"/>
      <protection locked="0"/>
    </xf>
    <xf numFmtId="3" fontId="10" fillId="0" borderId="28" xfId="0" applyNumberFormat="1" applyFont="1" applyBorder="1" applyAlignment="1" applyProtection="1">
      <alignment horizontal="left" vertical="center"/>
      <protection locked="0"/>
    </xf>
    <xf numFmtId="3" fontId="11" fillId="0" borderId="18" xfId="0" applyNumberFormat="1" applyFont="1" applyBorder="1" applyAlignment="1" applyProtection="1">
      <alignment horizontal="right" vertical="center" wrapText="1"/>
      <protection locked="0"/>
    </xf>
    <xf numFmtId="0" fontId="30" fillId="5" borderId="52" xfId="4" applyFont="1" applyFill="1" applyBorder="1" applyAlignment="1" applyProtection="1">
      <alignment vertical="top" wrapText="1"/>
      <protection locked="0"/>
    </xf>
    <xf numFmtId="0" fontId="7" fillId="5" borderId="88" xfId="4" applyFont="1" applyFill="1" applyBorder="1" applyAlignment="1" applyProtection="1">
      <alignment horizontal="center" vertical="top" wrapText="1"/>
      <protection locked="0"/>
    </xf>
    <xf numFmtId="49" fontId="30" fillId="2" borderId="85" xfId="4" applyNumberFormat="1" applyFont="1" applyFill="1" applyBorder="1" applyAlignment="1" applyProtection="1">
      <alignment horizontal="center" vertical="top" wrapText="1"/>
      <protection locked="0"/>
    </xf>
    <xf numFmtId="49" fontId="30" fillId="2" borderId="46" xfId="4" applyNumberFormat="1" applyFont="1" applyFill="1" applyBorder="1" applyAlignment="1" applyProtection="1">
      <alignment horizontal="center" vertical="top" wrapText="1"/>
      <protection locked="0"/>
    </xf>
    <xf numFmtId="0" fontId="31" fillId="0" borderId="0" xfId="4" applyFont="1" applyAlignment="1">
      <alignment vertical="top"/>
    </xf>
    <xf numFmtId="0" fontId="40" fillId="0" borderId="0" xfId="4" applyFont="1" applyAlignment="1">
      <alignment vertical="top"/>
    </xf>
    <xf numFmtId="0" fontId="32" fillId="4" borderId="52" xfId="4" applyFont="1" applyFill="1" applyBorder="1" applyAlignment="1" applyProtection="1">
      <alignment vertical="top" wrapText="1"/>
      <protection locked="0"/>
    </xf>
    <xf numFmtId="0" fontId="29" fillId="0" borderId="0" xfId="4" applyFont="1" applyFill="1" applyProtection="1">
      <protection locked="0"/>
    </xf>
    <xf numFmtId="0" fontId="7" fillId="0" borderId="74" xfId="0" applyFont="1" applyFill="1" applyBorder="1" applyAlignment="1" applyProtection="1">
      <alignment horizontal="left" vertical="center"/>
      <protection locked="0"/>
    </xf>
    <xf numFmtId="9" fontId="11" fillId="0" borderId="83" xfId="1" applyFont="1" applyBorder="1" applyAlignment="1" applyProtection="1">
      <alignment vertical="top" wrapText="1"/>
    </xf>
    <xf numFmtId="9" fontId="11" fillId="0" borderId="80" xfId="1" applyFont="1" applyBorder="1" applyAlignment="1" applyProtection="1">
      <alignment vertical="top" wrapText="1"/>
    </xf>
    <xf numFmtId="0" fontId="10" fillId="0" borderId="0" xfId="0" applyFont="1" applyBorder="1" applyAlignment="1" applyProtection="1">
      <alignment horizontal="left" vertical="center" indent="1"/>
      <protection locked="0"/>
    </xf>
    <xf numFmtId="0" fontId="11" fillId="0" borderId="4" xfId="0" applyFont="1" applyBorder="1" applyAlignment="1" applyProtection="1">
      <alignment horizontal="left" vertical="center"/>
      <protection locked="0"/>
    </xf>
    <xf numFmtId="0" fontId="11" fillId="0" borderId="4" xfId="0" applyFont="1" applyBorder="1" applyAlignment="1" applyProtection="1">
      <alignment horizontal="left" vertical="center" indent="1"/>
      <protection locked="0"/>
    </xf>
    <xf numFmtId="3" fontId="11" fillId="0" borderId="24" xfId="0" applyNumberFormat="1" applyFont="1" applyBorder="1" applyProtection="1">
      <protection locked="0"/>
    </xf>
    <xf numFmtId="3" fontId="11" fillId="0" borderId="29" xfId="0" applyNumberFormat="1" applyFont="1" applyBorder="1" applyProtection="1">
      <protection locked="0"/>
    </xf>
    <xf numFmtId="0" fontId="7" fillId="0" borderId="41" xfId="0" applyFont="1" applyBorder="1" applyAlignment="1" applyProtection="1">
      <alignment vertical="top" wrapText="1"/>
      <protection locked="0"/>
    </xf>
    <xf numFmtId="0" fontId="9" fillId="4" borderId="41" xfId="0" applyFont="1" applyFill="1" applyBorder="1" applyProtection="1">
      <protection locked="0"/>
    </xf>
    <xf numFmtId="165" fontId="11" fillId="3" borderId="7" xfId="0" applyNumberFormat="1" applyFont="1" applyFill="1" applyBorder="1" applyAlignment="1" applyProtection="1">
      <alignment vertical="top"/>
      <protection locked="0"/>
    </xf>
    <xf numFmtId="3" fontId="11" fillId="0" borderId="0" xfId="0" applyNumberFormat="1" applyFont="1" applyFill="1" applyBorder="1" applyAlignment="1" applyProtection="1">
      <alignment vertical="top"/>
      <protection locked="0"/>
    </xf>
    <xf numFmtId="3" fontId="11" fillId="3" borderId="22" xfId="0" applyNumberFormat="1" applyFont="1" applyFill="1" applyBorder="1" applyAlignment="1" applyProtection="1">
      <alignment vertical="top" wrapText="1"/>
    </xf>
    <xf numFmtId="0" fontId="8" fillId="0" borderId="0" xfId="0" applyFont="1" applyBorder="1" applyAlignment="1" applyProtection="1">
      <alignment wrapText="1"/>
      <protection locked="0"/>
    </xf>
    <xf numFmtId="0" fontId="10" fillId="0" borderId="1" xfId="0" applyFont="1" applyBorder="1" applyAlignment="1" applyProtection="1">
      <alignment vertical="center" wrapText="1"/>
      <protection locked="0"/>
    </xf>
    <xf numFmtId="3" fontId="7" fillId="0" borderId="2" xfId="0" applyNumberFormat="1" applyFont="1" applyFill="1" applyBorder="1" applyAlignment="1" applyProtection="1">
      <alignment vertical="top" wrapText="1"/>
      <protection locked="0"/>
    </xf>
    <xf numFmtId="3" fontId="11" fillId="3" borderId="0" xfId="0" applyNumberFormat="1" applyFont="1" applyFill="1" applyBorder="1" applyAlignment="1" applyProtection="1">
      <alignment vertical="top" wrapText="1"/>
      <protection locked="0"/>
    </xf>
    <xf numFmtId="3" fontId="11" fillId="0" borderId="0" xfId="0" applyNumberFormat="1" applyFont="1" applyFill="1" applyBorder="1" applyAlignment="1" applyProtection="1">
      <alignment vertical="top" wrapText="1"/>
      <protection locked="0"/>
    </xf>
    <xf numFmtId="3" fontId="7" fillId="0" borderId="2" xfId="0" applyNumberFormat="1" applyFont="1" applyFill="1" applyBorder="1" applyAlignment="1" applyProtection="1">
      <alignment vertical="center" wrapText="1"/>
      <protection locked="0"/>
    </xf>
    <xf numFmtId="0" fontId="19" fillId="0" borderId="0" xfId="0" applyFont="1" applyBorder="1" applyAlignment="1" applyProtection="1">
      <alignment vertical="top" wrapText="1"/>
      <protection locked="0"/>
    </xf>
    <xf numFmtId="0" fontId="2" fillId="0" borderId="0" xfId="0" applyFont="1" applyAlignment="1" applyProtection="1">
      <alignment wrapText="1"/>
      <protection locked="0"/>
    </xf>
    <xf numFmtId="0" fontId="10" fillId="0" borderId="0" xfId="0" quotePrefix="1" applyFont="1" applyFill="1" applyBorder="1" applyAlignment="1" applyProtection="1">
      <alignment vertical="top" wrapText="1"/>
      <protection locked="0"/>
    </xf>
    <xf numFmtId="0" fontId="32" fillId="0" borderId="52" xfId="4" applyFont="1" applyFill="1" applyBorder="1" applyAlignment="1" applyProtection="1">
      <alignment vertical="top" wrapText="1"/>
      <protection locked="0"/>
    </xf>
    <xf numFmtId="164" fontId="11" fillId="3" borderId="5" xfId="0" applyNumberFormat="1" applyFont="1" applyFill="1" applyBorder="1" applyProtection="1">
      <protection locked="0"/>
    </xf>
    <xf numFmtId="3" fontId="10" fillId="0" borderId="23" xfId="0" applyNumberFormat="1" applyFont="1" applyBorder="1" applyAlignment="1" applyProtection="1">
      <alignment horizontal="right" vertical="center"/>
      <protection locked="0"/>
    </xf>
    <xf numFmtId="3" fontId="10" fillId="0" borderId="7" xfId="0" applyNumberFormat="1" applyFont="1" applyBorder="1" applyAlignment="1" applyProtection="1">
      <alignment horizontal="right" vertical="center"/>
      <protection locked="0"/>
    </xf>
    <xf numFmtId="3" fontId="10" fillId="0" borderId="28" xfId="0" applyNumberFormat="1" applyFont="1" applyBorder="1" applyAlignment="1" applyProtection="1">
      <alignment horizontal="right" vertical="center"/>
      <protection locked="0"/>
    </xf>
    <xf numFmtId="3" fontId="10" fillId="0" borderId="73" xfId="0" applyNumberFormat="1" applyFont="1" applyBorder="1" applyAlignment="1" applyProtection="1">
      <alignment horizontal="right" vertical="center"/>
      <protection locked="0"/>
    </xf>
    <xf numFmtId="3" fontId="10" fillId="0" borderId="71" xfId="0" applyNumberFormat="1" applyFont="1" applyBorder="1" applyAlignment="1" applyProtection="1">
      <alignment horizontal="right" vertical="center"/>
      <protection locked="0"/>
    </xf>
    <xf numFmtId="4" fontId="32" fillId="3" borderId="97" xfId="4" applyNumberFormat="1" applyFont="1" applyFill="1" applyBorder="1" applyAlignment="1" applyProtection="1">
      <alignment vertical="top" wrapText="1"/>
      <protection locked="0"/>
    </xf>
    <xf numFmtId="0" fontId="7" fillId="5" borderId="15" xfId="4" applyFont="1" applyFill="1" applyBorder="1" applyAlignment="1" applyProtection="1">
      <alignment horizontal="center" vertical="top" wrapText="1"/>
      <protection locked="0"/>
    </xf>
    <xf numFmtId="14" fontId="32" fillId="3" borderId="9" xfId="4" applyNumberFormat="1" applyFont="1" applyFill="1" applyBorder="1" applyAlignment="1" applyProtection="1">
      <alignment vertical="top" wrapText="1"/>
      <protection locked="0"/>
    </xf>
    <xf numFmtId="0" fontId="30" fillId="5" borderId="95" xfId="4" applyFont="1" applyFill="1" applyBorder="1" applyAlignment="1" applyProtection="1">
      <alignment vertical="top" wrapText="1"/>
      <protection locked="0"/>
    </xf>
    <xf numFmtId="0" fontId="32" fillId="3" borderId="98" xfId="4" applyFont="1" applyFill="1" applyBorder="1" applyAlignment="1" applyProtection="1">
      <alignment vertical="top" wrapText="1"/>
      <protection locked="0"/>
    </xf>
    <xf numFmtId="9" fontId="11" fillId="3" borderId="20" xfId="1" applyFont="1" applyFill="1" applyBorder="1" applyAlignment="1" applyProtection="1">
      <alignment vertical="top"/>
    </xf>
    <xf numFmtId="9" fontId="11" fillId="3" borderId="22" xfId="1" applyFont="1" applyFill="1" applyBorder="1" applyAlignment="1" applyProtection="1">
      <alignment vertical="top"/>
    </xf>
    <xf numFmtId="9" fontId="11" fillId="3" borderId="21" xfId="1" applyFont="1" applyFill="1" applyBorder="1" applyAlignment="1" applyProtection="1">
      <alignment vertical="top"/>
    </xf>
    <xf numFmtId="9" fontId="10" fillId="0" borderId="18" xfId="1" applyFont="1" applyFill="1" applyBorder="1" applyAlignment="1" applyProtection="1">
      <alignment vertical="top" wrapText="1"/>
    </xf>
    <xf numFmtId="0" fontId="19" fillId="0" borderId="2" xfId="0" quotePrefix="1" applyFont="1" applyFill="1" applyBorder="1" applyAlignment="1" applyProtection="1">
      <alignment vertical="center"/>
      <protection locked="0"/>
    </xf>
    <xf numFmtId="0" fontId="11" fillId="4" borderId="69" xfId="0" applyFont="1" applyFill="1" applyBorder="1" applyAlignment="1" applyProtection="1">
      <alignment vertical="top" wrapText="1"/>
      <protection locked="0"/>
    </xf>
    <xf numFmtId="3" fontId="41" fillId="2" borderId="9" xfId="0" applyNumberFormat="1" applyFont="1" applyFill="1" applyBorder="1" applyProtection="1">
      <protection locked="0"/>
    </xf>
    <xf numFmtId="3" fontId="3" fillId="0" borderId="51" xfId="0" applyNumberFormat="1" applyFont="1" applyBorder="1" applyProtection="1">
      <protection locked="0"/>
    </xf>
    <xf numFmtId="3" fontId="3" fillId="0" borderId="72" xfId="0" applyNumberFormat="1" applyFont="1" applyBorder="1" applyProtection="1">
      <protection locked="0"/>
    </xf>
    <xf numFmtId="0" fontId="11" fillId="0" borderId="99" xfId="0" applyFont="1" applyBorder="1" applyAlignment="1" applyProtection="1">
      <alignment vertical="top"/>
      <protection locked="0"/>
    </xf>
    <xf numFmtId="0" fontId="11" fillId="0" borderId="77" xfId="0" applyFont="1" applyBorder="1" applyAlignment="1" applyProtection="1">
      <alignment vertical="top"/>
      <protection locked="0"/>
    </xf>
    <xf numFmtId="0" fontId="11" fillId="0" borderId="83" xfId="0" applyFont="1" applyBorder="1" applyAlignment="1" applyProtection="1">
      <alignment vertical="top"/>
      <protection locked="0"/>
    </xf>
    <xf numFmtId="3" fontId="10" fillId="10" borderId="63" xfId="0" applyNumberFormat="1" applyFont="1" applyFill="1" applyBorder="1" applyAlignment="1" applyProtection="1">
      <alignment vertical="top"/>
      <protection locked="0"/>
    </xf>
    <xf numFmtId="0" fontId="10" fillId="0" borderId="46" xfId="0" applyFont="1" applyBorder="1" applyAlignment="1" applyProtection="1">
      <alignment vertical="top" wrapText="1"/>
      <protection locked="0"/>
    </xf>
    <xf numFmtId="164" fontId="11" fillId="0" borderId="37" xfId="1" applyNumberFormat="1" applyFont="1" applyFill="1" applyBorder="1" applyAlignment="1" applyProtection="1">
      <alignment vertical="top" wrapText="1"/>
    </xf>
    <xf numFmtId="3" fontId="11" fillId="3" borderId="21" xfId="0" applyNumberFormat="1" applyFont="1" applyFill="1" applyBorder="1" applyAlignment="1" applyProtection="1">
      <alignment vertical="top" wrapText="1"/>
    </xf>
    <xf numFmtId="164" fontId="11" fillId="3" borderId="37" xfId="1" applyNumberFormat="1" applyFont="1" applyFill="1" applyBorder="1" applyAlignment="1" applyProtection="1">
      <alignment horizontal="right" vertical="top"/>
      <protection locked="0"/>
    </xf>
    <xf numFmtId="164" fontId="11" fillId="0" borderId="21" xfId="1" applyNumberFormat="1" applyFont="1" applyFill="1" applyBorder="1" applyAlignment="1" applyProtection="1">
      <alignment vertical="top" wrapText="1"/>
      <protection locked="0"/>
    </xf>
    <xf numFmtId="9" fontId="11" fillId="0" borderId="44" xfId="0" applyNumberFormat="1" applyFont="1" applyFill="1" applyBorder="1" applyAlignment="1" applyProtection="1">
      <alignment horizontal="right" vertical="top"/>
    </xf>
    <xf numFmtId="3" fontId="10" fillId="0" borderId="64" xfId="0" applyNumberFormat="1" applyFont="1" applyBorder="1" applyAlignment="1" applyProtection="1">
      <alignment vertical="top"/>
      <protection locked="0"/>
    </xf>
    <xf numFmtId="0" fontId="10" fillId="0" borderId="3" xfId="0" applyFont="1" applyBorder="1" applyAlignment="1" applyProtection="1">
      <alignment vertical="top"/>
      <protection locked="0"/>
    </xf>
    <xf numFmtId="3" fontId="10" fillId="0" borderId="14" xfId="0" applyNumberFormat="1" applyFont="1" applyFill="1" applyBorder="1" applyAlignment="1" applyProtection="1">
      <alignment vertical="top"/>
      <protection locked="0"/>
    </xf>
    <xf numFmtId="3" fontId="10" fillId="0" borderId="14" xfId="0" applyNumberFormat="1" applyFont="1" applyBorder="1" applyAlignment="1" applyProtection="1">
      <alignment vertical="top"/>
      <protection locked="0"/>
    </xf>
    <xf numFmtId="0" fontId="11" fillId="0" borderId="3" xfId="0" applyFont="1" applyBorder="1" applyAlignment="1" applyProtection="1">
      <alignment vertical="top"/>
      <protection locked="0"/>
    </xf>
    <xf numFmtId="3" fontId="10" fillId="0" borderId="28" xfId="0" applyNumberFormat="1" applyFont="1" applyBorder="1" applyAlignment="1" applyProtection="1">
      <alignment vertical="top"/>
      <protection locked="0"/>
    </xf>
    <xf numFmtId="0" fontId="10" fillId="0" borderId="28" xfId="0" applyFont="1" applyBorder="1" applyAlignment="1" applyProtection="1">
      <alignment vertical="top"/>
    </xf>
    <xf numFmtId="3" fontId="10" fillId="0" borderId="100" xfId="0" applyNumberFormat="1" applyFont="1" applyBorder="1" applyAlignment="1" applyProtection="1">
      <alignment vertical="top"/>
      <protection locked="0"/>
    </xf>
    <xf numFmtId="3" fontId="11" fillId="0" borderId="51" xfId="0" applyNumberFormat="1" applyFont="1" applyFill="1" applyBorder="1" applyAlignment="1" applyProtection="1">
      <alignment vertical="top" wrapText="1"/>
      <protection locked="0"/>
    </xf>
    <xf numFmtId="3" fontId="11" fillId="0" borderId="64" xfId="0" applyNumberFormat="1" applyFont="1" applyFill="1" applyBorder="1" applyAlignment="1" applyProtection="1">
      <alignment vertical="top" wrapText="1"/>
      <protection locked="0"/>
    </xf>
    <xf numFmtId="3" fontId="11" fillId="0" borderId="64" xfId="1" applyNumberFormat="1" applyFont="1" applyFill="1" applyBorder="1" applyProtection="1">
      <protection locked="0"/>
    </xf>
    <xf numFmtId="3" fontId="11" fillId="0" borderId="72" xfId="1" applyNumberFormat="1" applyFont="1" applyFill="1" applyBorder="1" applyProtection="1">
      <protection locked="0"/>
    </xf>
    <xf numFmtId="3" fontId="11" fillId="0" borderId="72" xfId="0" applyNumberFormat="1" applyFont="1" applyFill="1" applyBorder="1" applyAlignment="1" applyProtection="1">
      <alignment vertical="top" wrapText="1"/>
      <protection locked="0"/>
    </xf>
    <xf numFmtId="1" fontId="7" fillId="0" borderId="9" xfId="0" applyNumberFormat="1" applyFont="1" applyFill="1" applyBorder="1" applyAlignment="1" applyProtection="1">
      <alignment vertical="top" wrapText="1"/>
      <protection locked="0"/>
    </xf>
    <xf numFmtId="1" fontId="7" fillId="0" borderId="9" xfId="0" applyNumberFormat="1" applyFont="1" applyFill="1" applyBorder="1" applyAlignment="1" applyProtection="1">
      <alignment vertical="top"/>
      <protection locked="0"/>
    </xf>
    <xf numFmtId="3" fontId="10" fillId="0" borderId="101" xfId="0" applyNumberFormat="1" applyFont="1" applyBorder="1" applyAlignment="1" applyProtection="1">
      <alignment horizontal="left" vertical="center"/>
      <protection locked="0"/>
    </xf>
    <xf numFmtId="3" fontId="10" fillId="0" borderId="102" xfId="0" applyNumberFormat="1" applyFont="1" applyBorder="1" applyAlignment="1" applyProtection="1">
      <alignment horizontal="right" vertical="center"/>
      <protection locked="0"/>
    </xf>
    <xf numFmtId="164" fontId="11" fillId="0" borderId="101" xfId="1" applyNumberFormat="1" applyFont="1" applyBorder="1" applyAlignment="1" applyProtection="1">
      <alignment horizontal="left" vertical="center"/>
      <protection locked="0"/>
    </xf>
    <xf numFmtId="3" fontId="10" fillId="0" borderId="102" xfId="0" applyNumberFormat="1" applyFont="1" applyBorder="1" applyAlignment="1" applyProtection="1">
      <alignment horizontal="left" vertical="center"/>
      <protection locked="0"/>
    </xf>
    <xf numFmtId="3" fontId="11" fillId="0" borderId="103" xfId="0" applyNumberFormat="1" applyFont="1" applyBorder="1" applyAlignment="1" applyProtection="1">
      <alignment horizontal="right" vertical="center" wrapText="1"/>
      <protection locked="0"/>
    </xf>
    <xf numFmtId="3" fontId="11" fillId="0" borderId="103" xfId="0" applyNumberFormat="1" applyFont="1" applyBorder="1" applyAlignment="1" applyProtection="1">
      <alignment horizontal="right" vertical="center" wrapText="1"/>
    </xf>
    <xf numFmtId="3" fontId="10" fillId="0" borderId="4" xfId="0" applyNumberFormat="1" applyFont="1" applyBorder="1" applyAlignment="1" applyProtection="1">
      <alignment horizontal="left" vertical="center"/>
      <protection locked="0"/>
    </xf>
    <xf numFmtId="3" fontId="10" fillId="0" borderId="10" xfId="0" applyNumberFormat="1" applyFont="1" applyBorder="1" applyAlignment="1" applyProtection="1">
      <alignment horizontal="right" vertical="center"/>
      <protection locked="0"/>
    </xf>
    <xf numFmtId="164" fontId="11" fillId="0" borderId="4" xfId="1" applyNumberFormat="1" applyFont="1" applyBorder="1" applyAlignment="1" applyProtection="1">
      <alignment horizontal="left" vertical="center"/>
      <protection locked="0"/>
    </xf>
    <xf numFmtId="3" fontId="10" fillId="0" borderId="10" xfId="0" applyNumberFormat="1" applyFont="1" applyBorder="1" applyAlignment="1" applyProtection="1">
      <alignment horizontal="left" vertical="center"/>
      <protection locked="0"/>
    </xf>
    <xf numFmtId="3" fontId="11" fillId="0" borderId="25" xfId="0" applyNumberFormat="1" applyFont="1" applyBorder="1" applyAlignment="1" applyProtection="1">
      <alignment horizontal="right" vertical="center" wrapText="1"/>
      <protection locked="0"/>
    </xf>
    <xf numFmtId="3" fontId="11" fillId="0" borderId="26" xfId="0" applyNumberFormat="1" applyFont="1" applyFill="1" applyBorder="1" applyAlignment="1" applyProtection="1">
      <protection locked="0"/>
    </xf>
    <xf numFmtId="3" fontId="11" fillId="0" borderId="27" xfId="0" applyNumberFormat="1" applyFont="1" applyFill="1" applyBorder="1" applyAlignment="1" applyProtection="1">
      <protection locked="0"/>
    </xf>
    <xf numFmtId="3" fontId="11" fillId="0" borderId="31" xfId="0" applyNumberFormat="1" applyFont="1" applyFill="1" applyBorder="1" applyAlignment="1" applyProtection="1">
      <protection locked="0"/>
    </xf>
    <xf numFmtId="164" fontId="11" fillId="3" borderId="51" xfId="1" applyNumberFormat="1" applyFont="1" applyFill="1" applyBorder="1" applyAlignment="1" applyProtection="1">
      <alignment vertical="top"/>
      <protection locked="0"/>
    </xf>
    <xf numFmtId="164" fontId="11" fillId="3" borderId="64" xfId="1" applyNumberFormat="1" applyFont="1" applyFill="1" applyBorder="1" applyAlignment="1" applyProtection="1">
      <alignment vertical="top"/>
      <protection locked="0"/>
    </xf>
    <xf numFmtId="164" fontId="11" fillId="3" borderId="72" xfId="1" applyNumberFormat="1" applyFont="1" applyFill="1" applyBorder="1" applyAlignment="1" applyProtection="1">
      <alignment vertical="top"/>
      <protection locked="0"/>
    </xf>
    <xf numFmtId="0" fontId="19" fillId="0" borderId="2" xfId="0" quotePrefix="1" applyFont="1" applyFill="1" applyBorder="1" applyAlignment="1" applyProtection="1">
      <alignment horizontal="left" vertical="center" wrapText="1"/>
      <protection locked="0"/>
    </xf>
    <xf numFmtId="0" fontId="19" fillId="0" borderId="2" xfId="0" quotePrefix="1" applyFont="1" applyFill="1"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Fill="1" applyBorder="1" applyAlignment="1" applyProtection="1">
      <alignment horizontal="center" vertical="center"/>
      <protection locked="0"/>
    </xf>
    <xf numFmtId="0" fontId="10" fillId="0" borderId="96" xfId="0" quotePrefix="1" applyFont="1" applyFill="1" applyBorder="1" applyAlignment="1" applyProtection="1">
      <alignment horizontal="left" vertical="top" wrapText="1"/>
      <protection locked="0"/>
    </xf>
    <xf numFmtId="0" fontId="10" fillId="0" borderId="4" xfId="0" quotePrefix="1" applyFont="1" applyFill="1" applyBorder="1" applyAlignment="1" applyProtection="1">
      <alignment horizontal="left" vertical="top" wrapText="1"/>
      <protection locked="0"/>
    </xf>
    <xf numFmtId="0" fontId="7" fillId="0" borderId="89" xfId="0" quotePrefix="1" applyFont="1" applyFill="1" applyBorder="1" applyAlignment="1" applyProtection="1">
      <alignment horizontal="left" vertical="top" wrapText="1"/>
      <protection locked="0"/>
    </xf>
    <xf numFmtId="0" fontId="7" fillId="0" borderId="90" xfId="0" quotePrefix="1" applyFont="1" applyFill="1" applyBorder="1" applyAlignment="1" applyProtection="1">
      <alignment horizontal="left" vertical="top" wrapText="1"/>
      <protection locked="0"/>
    </xf>
    <xf numFmtId="0" fontId="7" fillId="0" borderId="104" xfId="0" quotePrefix="1" applyFont="1" applyFill="1" applyBorder="1" applyAlignment="1" applyProtection="1">
      <alignment horizontal="left" vertical="top" wrapText="1"/>
      <protection locked="0"/>
    </xf>
    <xf numFmtId="0" fontId="11" fillId="0" borderId="96" xfId="0" quotePrefix="1" applyFont="1" applyFill="1" applyBorder="1" applyAlignment="1" applyProtection="1">
      <alignment horizontal="left" vertical="top" wrapText="1"/>
      <protection locked="0"/>
    </xf>
    <xf numFmtId="0" fontId="11" fillId="0" borderId="4" xfId="0" quotePrefix="1"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39"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xr:uid="{00000000-0005-0000-0000-000004000000}"/>
  </cellStyles>
  <dxfs count="56">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0000"/>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color rgb="FFFF0000"/>
      </font>
      <fill>
        <patternFill patternType="solid">
          <bgColor theme="7" tint="0.79998168889431442"/>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solid">
          <bgColor theme="7"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duktion" displayName="Produktion" ref="B27:B34" totalsRowShown="0" headerRowDxfId="47" dataDxfId="45" headerRowBorderDxfId="46" tableBorderDxfId="44" totalsRowBorderDxfId="43">
  <autoFilter ref="B27:B34" xr:uid="{00000000-0009-0000-0100-000001000000}"/>
  <tableColumns count="1">
    <tableColumn id="1" xr3:uid="{00000000-0010-0000-0000-000001000000}" name="Produktion"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rarbeitung" displayName="Verarbeitung" ref="C27:C34" totalsRowShown="0" headerRowDxfId="41" dataDxfId="39" headerRowBorderDxfId="40" tableBorderDxfId="38" totalsRowBorderDxfId="37">
  <autoFilter ref="C27:C34" xr:uid="{00000000-0009-0000-0100-000002000000}"/>
  <tableColumns count="1">
    <tableColumn id="1" xr3:uid="{00000000-0010-0000-0100-000001000000}" name="Verarbeitung" dataDxfId="3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Vermarktung" displayName="Vermarktung" ref="D27:D34" totalsRowShown="0" headerRowDxfId="35" dataDxfId="33" headerRowBorderDxfId="34" tableBorderDxfId="32" totalsRowBorderDxfId="31">
  <autoFilter ref="D27:D34" xr:uid="{00000000-0009-0000-0100-000003000000}"/>
  <tableColumns count="1">
    <tableColumn id="1" xr3:uid="{00000000-0010-0000-0200-000001000000}" name="Vermarktung" dataDxfId="3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ufbau_Weiterentwicklung_Betriebszweig_auf_LW_Betrieb" displayName="Aufbau_Weiterentwicklung_Betriebszweig_auf_LW_Betrieb" ref="E27:E34" totalsRowShown="0" headerRowDxfId="29" dataDxfId="27" headerRowBorderDxfId="28" tableBorderDxfId="26" totalsRowBorderDxfId="25">
  <autoFilter ref="E27:E34" xr:uid="{00000000-0009-0000-0100-000004000000}"/>
  <tableColumns count="1">
    <tableColumn id="1" xr3:uid="{00000000-0010-0000-0300-000001000000}" name="Aufbau_Weiterentwicklung_Betriebszweig_auf_LW_Betrieb" dataDxfId="2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Weiteres" displayName="Weiteres" ref="F27:F34" totalsRowShown="0" headerRowDxfId="23" dataDxfId="21" headerRowBorderDxfId="22" tableBorderDxfId="20" totalsRowBorderDxfId="19">
  <autoFilter ref="F27:F34" xr:uid="{00000000-0009-0000-0100-000005000000}"/>
  <tableColumns count="1">
    <tableColumn id="1" xr3:uid="{00000000-0010-0000-0400-000001000000}" name="Weiteres" dataDxfId="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auswählen" displayName="auswählen" ref="G27:G34" totalsRowShown="0" headerRowDxfId="17" dataDxfId="16">
  <autoFilter ref="G27:G34" xr:uid="{00000000-0009-0000-0100-000006000000}"/>
  <tableColumns count="1">
    <tableColumn id="1" xr3:uid="{00000000-0010-0000-0500-000001000000}" name="auswählen"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Massnahme" displayName="Massnahme" ref="B6:B18" totalsRowShown="0" headerRowDxfId="14" dataDxfId="12" headerRowBorderDxfId="13" tableBorderDxfId="11">
  <autoFilter ref="B6:B18" xr:uid="{00000000-0009-0000-0100-00000A000000}"/>
  <tableColumns count="1">
    <tableColumn id="1" xr3:uid="{00000000-0010-0000-0600-000001000000}" name="Massnahme" dataDxfId="1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Finanzierungsquellen" displayName="Finanzierungsquellen" ref="B46:B53" totalsRowShown="0" headerRowDxfId="9" dataDxfId="8" tableBorderDxfId="7">
  <autoFilter ref="B46:B53" xr:uid="{00000000-0009-0000-0100-000007000000}"/>
  <tableColumns count="1">
    <tableColumn id="1" xr3:uid="{00000000-0010-0000-0700-000001000000}"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elle8" displayName="Tabelle8" ref="B55:B59" totalsRowShown="0" headerRowDxfId="5" dataDxfId="3" headerRowBorderDxfId="4" tableBorderDxfId="2" totalsRowBorderDxfId="1">
  <autoFilter ref="B55:B59" xr:uid="{00000000-0009-0000-0100-000008000000}"/>
  <tableColumns count="1">
    <tableColumn id="1" xr3:uid="{00000000-0010-0000-0800-000001000000}"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X87"/>
  <sheetViews>
    <sheetView showGridLines="0" tabSelected="1" zoomScale="85" zoomScaleNormal="85" zoomScaleSheetLayoutView="70" zoomScalePageLayoutView="47" workbookViewId="0">
      <selection activeCell="F5" sqref="F5"/>
    </sheetView>
  </sheetViews>
  <sheetFormatPr baseColWidth="10" defaultColWidth="11" defaultRowHeight="15.5" outlineLevelRow="1" x14ac:dyDescent="0.3"/>
  <cols>
    <col min="1" max="1" width="35" style="8" customWidth="1"/>
    <col min="2" max="2" width="22.08203125" style="8" customWidth="1"/>
    <col min="3" max="3" width="20.33203125" style="8" customWidth="1"/>
    <col min="4" max="4" width="17.58203125" style="8" customWidth="1"/>
    <col min="5" max="5" width="11.08203125" style="8" customWidth="1"/>
    <col min="6" max="6" width="13.83203125" style="8" customWidth="1"/>
    <col min="7" max="7" width="12.33203125" style="8" customWidth="1"/>
    <col min="8" max="8" width="15.75" style="8" customWidth="1"/>
    <col min="9" max="9" width="13.83203125" style="8" customWidth="1"/>
    <col min="10" max="10" width="13.58203125" style="8" customWidth="1"/>
    <col min="11" max="11" width="9.08203125" style="8" customWidth="1"/>
    <col min="12" max="12" width="15.33203125" style="8" customWidth="1"/>
    <col min="13" max="13" width="12.75" style="8" customWidth="1"/>
    <col min="14" max="14" width="9.83203125" style="8" customWidth="1"/>
    <col min="15" max="15" width="14.33203125" style="8" customWidth="1"/>
    <col min="16" max="16" width="10.33203125" style="8" customWidth="1"/>
    <col min="17" max="17" width="9.58203125" style="8" customWidth="1"/>
    <col min="18" max="18" width="11.58203125" style="8" customWidth="1"/>
    <col min="19" max="19" width="11" style="8" customWidth="1"/>
    <col min="20" max="20" width="10.08203125" style="8" customWidth="1"/>
    <col min="21" max="21" width="19.33203125" style="8" customWidth="1"/>
    <col min="22" max="22" width="16" style="8" customWidth="1"/>
    <col min="23" max="23" width="16.83203125" style="8" customWidth="1"/>
    <col min="24" max="24" width="16.08203125" style="8" customWidth="1"/>
    <col min="25" max="25" width="16" style="406" customWidth="1"/>
    <col min="26" max="31" width="19.25" style="8" customWidth="1"/>
    <col min="32" max="32" width="14.33203125" style="8" customWidth="1"/>
    <col min="33" max="33" width="11" style="8" customWidth="1"/>
    <col min="34" max="16384" width="11" style="8"/>
  </cols>
  <sheetData>
    <row r="1" spans="1:36" s="480" customFormat="1" ht="27" customHeight="1" x14ac:dyDescent="0.3">
      <c r="A1" s="477" t="s">
        <v>244</v>
      </c>
      <c r="B1" s="478"/>
      <c r="C1" s="478"/>
      <c r="D1" s="478"/>
      <c r="E1" s="478"/>
      <c r="F1" s="478"/>
      <c r="G1" s="478"/>
      <c r="H1" s="478"/>
      <c r="I1" s="478"/>
      <c r="J1" s="478"/>
      <c r="K1" s="478"/>
      <c r="L1" s="478"/>
      <c r="M1" s="478"/>
      <c r="N1" s="478"/>
      <c r="O1" s="478"/>
      <c r="P1" s="478"/>
      <c r="Q1" s="478"/>
      <c r="R1" s="478"/>
      <c r="S1" s="478"/>
      <c r="T1" s="478"/>
      <c r="U1" s="478"/>
      <c r="V1" s="478"/>
      <c r="W1" s="478"/>
      <c r="X1" s="478"/>
      <c r="Y1" s="479"/>
      <c r="Z1" s="478"/>
      <c r="AA1" s="478"/>
      <c r="AB1" s="478"/>
      <c r="AC1" s="478"/>
      <c r="AD1" s="478"/>
      <c r="AE1" s="478"/>
      <c r="AF1" s="478"/>
    </row>
    <row r="2" spans="1:36" s="1" customFormat="1" ht="30" customHeight="1" x14ac:dyDescent="0.3">
      <c r="A2" s="394" t="s">
        <v>75</v>
      </c>
      <c r="B2" s="395"/>
      <c r="C2" s="396" t="s">
        <v>10</v>
      </c>
      <c r="D2" s="397"/>
      <c r="I2" s="398"/>
      <c r="J2" s="398"/>
      <c r="K2" s="398"/>
      <c r="L2" s="398"/>
      <c r="M2" s="398"/>
      <c r="N2" s="398"/>
      <c r="O2" s="398"/>
      <c r="P2" s="398"/>
      <c r="Q2" s="398"/>
      <c r="R2" s="398"/>
      <c r="Y2" s="399"/>
      <c r="AF2" s="8"/>
      <c r="AG2" s="8"/>
      <c r="AH2" s="8"/>
      <c r="AI2" s="8"/>
      <c r="AJ2" s="8"/>
    </row>
    <row r="3" spans="1:36" s="1" customFormat="1" ht="30" customHeight="1" x14ac:dyDescent="0.3">
      <c r="A3" s="400" t="s">
        <v>194</v>
      </c>
      <c r="B3" s="401" t="s">
        <v>264</v>
      </c>
      <c r="C3" s="400" t="str">
        <f>IF(B3="auswählen","Auswahl zwingend für weitere Berechnung","")</f>
        <v>Auswahl zwingend für weitere Berechnung</v>
      </c>
      <c r="I3" s="398"/>
      <c r="J3" s="398"/>
      <c r="K3" s="398"/>
      <c r="L3" s="398"/>
      <c r="M3" s="398"/>
      <c r="N3" s="398"/>
      <c r="O3" s="398"/>
      <c r="P3" s="398"/>
      <c r="Q3" s="398"/>
      <c r="R3" s="398"/>
      <c r="Y3" s="399"/>
      <c r="AF3" s="8"/>
      <c r="AG3" s="8"/>
      <c r="AH3" s="8"/>
      <c r="AI3" s="8"/>
      <c r="AJ3" s="8"/>
    </row>
    <row r="4" spans="1:36" s="1" customFormat="1" ht="30" customHeight="1" x14ac:dyDescent="0.3">
      <c r="A4" s="400" t="s">
        <v>282</v>
      </c>
      <c r="B4" s="586" t="s">
        <v>264</v>
      </c>
      <c r="C4" s="400" t="str">
        <f>IF(B4="auswählen","Auswahl zwingend für weitere Berechnung","")</f>
        <v>Auswahl zwingend für weitere Berechnung</v>
      </c>
      <c r="J4" s="398"/>
      <c r="K4" s="398"/>
      <c r="L4" s="398"/>
      <c r="M4" s="398"/>
      <c r="N4" s="398"/>
      <c r="O4" s="398"/>
      <c r="P4" s="398"/>
      <c r="Q4" s="398"/>
      <c r="R4" s="398"/>
      <c r="Y4" s="399"/>
      <c r="AF4" s="8"/>
      <c r="AG4" s="8"/>
      <c r="AH4" s="8"/>
      <c r="AI4" s="8"/>
      <c r="AJ4" s="8"/>
    </row>
    <row r="5" spans="1:36" s="1" customFormat="1" ht="30" customHeight="1" x14ac:dyDescent="0.3">
      <c r="A5" s="400" t="s">
        <v>283</v>
      </c>
      <c r="B5" s="586"/>
      <c r="C5" s="400" t="str">
        <f>IF(B5="","Auswahl zwingend für weitere Berechnung","")</f>
        <v>Auswahl zwingend für weitere Berechnung</v>
      </c>
      <c r="I5" s="398"/>
      <c r="J5" s="398"/>
      <c r="K5" s="398"/>
      <c r="L5" s="398"/>
      <c r="M5" s="398"/>
      <c r="N5" s="398"/>
      <c r="O5" s="398"/>
      <c r="P5" s="398"/>
      <c r="Q5" s="398"/>
      <c r="R5" s="398"/>
      <c r="Y5" s="399"/>
      <c r="AF5" s="8"/>
      <c r="AG5" s="8"/>
      <c r="AH5" s="8"/>
      <c r="AI5" s="8"/>
      <c r="AJ5" s="8"/>
    </row>
    <row r="6" spans="1:36" s="1" customFormat="1" ht="30" customHeight="1" x14ac:dyDescent="0.3">
      <c r="A6" s="400" t="s">
        <v>268</v>
      </c>
      <c r="B6" s="401" t="s">
        <v>264</v>
      </c>
      <c r="C6" s="400" t="str">
        <f>IF(B6="auswählen","Auswahl zwingend für weitere Berechnung","")</f>
        <v>Auswahl zwingend für weitere Berechnung</v>
      </c>
      <c r="I6" s="398"/>
      <c r="J6" s="398"/>
      <c r="K6" s="398"/>
      <c r="L6" s="398"/>
      <c r="M6" s="398" t="s">
        <v>367</v>
      </c>
      <c r="N6" s="398"/>
      <c r="O6" s="398"/>
      <c r="P6" s="398"/>
      <c r="Q6" s="398"/>
      <c r="R6" s="398"/>
      <c r="Y6" s="399"/>
      <c r="AF6" s="8"/>
      <c r="AG6" s="8"/>
      <c r="AH6" s="8"/>
      <c r="AI6" s="8"/>
      <c r="AJ6" s="8"/>
    </row>
    <row r="7" spans="1:36" s="1" customFormat="1" ht="30" customHeight="1" x14ac:dyDescent="0.35">
      <c r="A7" s="684" t="s">
        <v>156</v>
      </c>
      <c r="B7" s="685" t="s">
        <v>264</v>
      </c>
      <c r="C7" s="400" t="str">
        <f>IF(B7="auswählen","Auswahl zwingend für weitere Berechnung","")</f>
        <v>Auswahl zwingend für weitere Berechnung</v>
      </c>
      <c r="I7" s="398"/>
      <c r="J7" s="398"/>
      <c r="K7" s="398"/>
      <c r="L7" s="398"/>
      <c r="M7" s="398"/>
      <c r="N7" s="398"/>
      <c r="O7" s="398"/>
      <c r="P7" s="398"/>
      <c r="Q7" s="398"/>
      <c r="R7" s="398"/>
      <c r="Y7" s="399"/>
      <c r="AF7" s="8"/>
      <c r="AG7" s="8"/>
      <c r="AH7" s="8"/>
      <c r="AI7" s="8"/>
      <c r="AJ7" s="8"/>
    </row>
    <row r="8" spans="1:36" s="1" customFormat="1" ht="30" customHeight="1" x14ac:dyDescent="0.3">
      <c r="A8" s="402" t="s">
        <v>111</v>
      </c>
      <c r="B8" s="403" t="s">
        <v>264</v>
      </c>
      <c r="C8" s="676" t="str">
        <f>IF(B8="auswählen","Auswahl zwingend für weitere Berechnung","")</f>
        <v>Auswahl zwingend für weitere Berechnung</v>
      </c>
      <c r="D8" s="404" t="s">
        <v>252</v>
      </c>
      <c r="E8" s="404"/>
      <c r="F8" s="404"/>
      <c r="G8" s="404"/>
      <c r="H8" s="404"/>
      <c r="I8" s="404"/>
      <c r="J8" s="404"/>
      <c r="K8" s="404"/>
      <c r="L8" s="404"/>
      <c r="M8" s="404"/>
      <c r="N8" s="404"/>
      <c r="O8" s="404"/>
      <c r="P8" s="404"/>
      <c r="Q8" s="404"/>
      <c r="R8" s="404"/>
      <c r="S8" s="404"/>
      <c r="T8" s="404"/>
      <c r="U8" s="404"/>
      <c r="V8" s="404"/>
      <c r="W8" s="404"/>
      <c r="X8" s="404"/>
      <c r="Y8" s="405"/>
      <c r="Z8" s="404"/>
      <c r="AA8" s="404"/>
      <c r="AB8" s="404"/>
      <c r="AC8" s="404"/>
      <c r="AD8" s="404"/>
      <c r="AE8" s="404"/>
      <c r="AF8" s="8"/>
      <c r="AG8" s="8"/>
      <c r="AH8" s="8"/>
      <c r="AI8" s="8"/>
      <c r="AJ8" s="8"/>
    </row>
    <row r="9" spans="1:36" x14ac:dyDescent="0.3">
      <c r="AF9" s="88"/>
      <c r="AG9" s="88"/>
    </row>
    <row r="10" spans="1:36" s="1" customFormat="1" ht="34" customHeight="1" x14ac:dyDescent="0.3">
      <c r="A10" s="481" t="s">
        <v>245</v>
      </c>
      <c r="B10" s="6"/>
      <c r="C10" s="6"/>
      <c r="D10" s="6"/>
      <c r="E10" s="6"/>
      <c r="F10" s="6"/>
      <c r="G10" s="6"/>
      <c r="H10" s="6"/>
      <c r="I10" s="6"/>
      <c r="J10" s="7"/>
      <c r="K10" s="6"/>
      <c r="L10" s="6"/>
      <c r="M10" s="6"/>
      <c r="N10" s="6"/>
      <c r="O10" s="6"/>
      <c r="P10" s="6"/>
      <c r="Q10" s="6"/>
      <c r="R10" s="6"/>
      <c r="S10" s="6"/>
      <c r="T10" s="6"/>
      <c r="U10" s="6"/>
      <c r="V10" s="6"/>
      <c r="W10" s="6"/>
      <c r="X10" s="6"/>
      <c r="Y10" s="6"/>
      <c r="Z10" s="6"/>
      <c r="AA10" s="6"/>
      <c r="AB10" s="6"/>
      <c r="AC10" s="6"/>
      <c r="AD10" s="6"/>
      <c r="AE10" s="6"/>
      <c r="AF10" s="6"/>
      <c r="AG10" s="6"/>
      <c r="AH10" s="8"/>
      <c r="AI10" s="8"/>
    </row>
    <row r="11" spans="1:36" ht="83.25" customHeight="1" x14ac:dyDescent="0.3">
      <c r="A11" s="763" t="s">
        <v>408</v>
      </c>
      <c r="B11" s="763"/>
      <c r="C11" s="763"/>
      <c r="D11" s="763"/>
      <c r="E11" s="763"/>
      <c r="F11" s="763"/>
      <c r="G11" s="763"/>
      <c r="H11" s="763"/>
      <c r="I11" s="763"/>
      <c r="J11" s="763"/>
      <c r="K11" s="763"/>
      <c r="L11" s="763"/>
      <c r="M11" s="410"/>
      <c r="N11" s="410"/>
      <c r="O11" s="410"/>
      <c r="P11" s="410"/>
      <c r="Q11" s="410"/>
      <c r="R11" s="410"/>
      <c r="S11" s="410"/>
      <c r="T11" s="410"/>
      <c r="U11" s="410"/>
      <c r="V11" s="410"/>
      <c r="W11" s="410"/>
      <c r="X11" s="410"/>
      <c r="Y11" s="410"/>
      <c r="Z11" s="410"/>
      <c r="AA11" s="410"/>
      <c r="AB11" s="410"/>
      <c r="AC11" s="410"/>
      <c r="AD11" s="410"/>
      <c r="AE11" s="410"/>
      <c r="AF11" s="410"/>
      <c r="AG11" s="410"/>
    </row>
    <row r="12" spans="1:36" ht="174.65" customHeight="1" x14ac:dyDescent="0.3">
      <c r="A12" s="764" t="s">
        <v>412</v>
      </c>
      <c r="B12" s="764"/>
      <c r="C12" s="764"/>
      <c r="D12" s="764"/>
      <c r="E12" s="764"/>
      <c r="F12" s="764"/>
      <c r="G12" s="764"/>
      <c r="H12" s="764"/>
      <c r="I12" s="764"/>
      <c r="J12" s="764"/>
      <c r="K12" s="764"/>
      <c r="L12" s="764"/>
      <c r="M12" s="482"/>
      <c r="N12" s="482"/>
      <c r="O12" s="482"/>
      <c r="P12" s="482"/>
      <c r="Q12" s="482"/>
      <c r="R12" s="482"/>
      <c r="S12" s="482"/>
      <c r="T12" s="482"/>
      <c r="U12" s="482"/>
      <c r="V12" s="482"/>
      <c r="W12" s="482"/>
      <c r="X12" s="482"/>
      <c r="Y12" s="482"/>
      <c r="Z12" s="482"/>
      <c r="AA12" s="482"/>
      <c r="AB12" s="482"/>
      <c r="AC12" s="482"/>
      <c r="AD12" s="482"/>
      <c r="AE12" s="482"/>
      <c r="AF12" s="482"/>
      <c r="AG12" s="482"/>
    </row>
    <row r="13" spans="1:36" ht="26.15" customHeight="1" x14ac:dyDescent="0.3">
      <c r="A13" s="407" t="s">
        <v>290</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row>
    <row r="14" spans="1:36" x14ac:dyDescent="0.3">
      <c r="A14" s="84" t="s">
        <v>250</v>
      </c>
      <c r="B14" s="84" t="s">
        <v>387</v>
      </c>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row>
    <row r="15" spans="1:36" x14ac:dyDescent="0.3">
      <c r="A15" s="84" t="s">
        <v>249</v>
      </c>
      <c r="B15" s="84" t="s">
        <v>386</v>
      </c>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row>
    <row r="16" spans="1:36" x14ac:dyDescent="0.3">
      <c r="A16" s="84" t="s">
        <v>410</v>
      </c>
      <c r="B16" s="84" t="s">
        <v>251</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row>
    <row r="17" spans="1:36" x14ac:dyDescent="0.3">
      <c r="A17" s="84" t="s">
        <v>409</v>
      </c>
      <c r="B17" s="84" t="s">
        <v>388</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row>
    <row r="18" spans="1:36" x14ac:dyDescent="0.3">
      <c r="A18" s="84" t="s">
        <v>389</v>
      </c>
      <c r="B18" s="84" t="s">
        <v>393</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9"/>
      <c r="AG18" s="409"/>
    </row>
    <row r="20" spans="1:36" ht="31" x14ac:dyDescent="0.3">
      <c r="A20" s="411" t="s">
        <v>160</v>
      </c>
      <c r="B20" s="412" t="s">
        <v>267</v>
      </c>
      <c r="C20" s="8" t="s">
        <v>256</v>
      </c>
      <c r="H20" s="13"/>
      <c r="L20" s="413"/>
    </row>
    <row r="22" spans="1:36" s="1" customFormat="1" ht="24.65" customHeight="1" x14ac:dyDescent="0.3">
      <c r="A22" s="481" t="s">
        <v>394</v>
      </c>
      <c r="B22" s="6"/>
      <c r="C22" s="6"/>
      <c r="D22" s="6"/>
      <c r="E22" s="6"/>
      <c r="F22" s="6"/>
      <c r="G22" s="6"/>
      <c r="H22" s="6"/>
      <c r="I22" s="6"/>
      <c r="J22" s="7"/>
      <c r="K22" s="6"/>
      <c r="L22" s="6"/>
      <c r="M22" s="6"/>
      <c r="N22" s="6"/>
      <c r="O22" s="6"/>
      <c r="P22" s="6"/>
      <c r="Q22" s="6"/>
      <c r="R22" s="6"/>
      <c r="S22" s="6"/>
      <c r="T22" s="6"/>
      <c r="U22" s="6"/>
      <c r="V22" s="6"/>
      <c r="W22" s="6"/>
      <c r="X22" s="6"/>
      <c r="Y22" s="6"/>
      <c r="Z22" s="6"/>
      <c r="AA22" s="6"/>
      <c r="AB22" s="6"/>
      <c r="AC22" s="6"/>
      <c r="AD22" s="6"/>
      <c r="AE22" s="6"/>
      <c r="AF22" s="6"/>
      <c r="AG22" s="6"/>
      <c r="AH22" s="8"/>
      <c r="AI22" s="8"/>
    </row>
    <row r="23" spans="1:36" s="398" customFormat="1" ht="76.5" customHeight="1" x14ac:dyDescent="0.3">
      <c r="A23" s="761" t="s">
        <v>399</v>
      </c>
      <c r="B23" s="761"/>
      <c r="C23" s="761"/>
      <c r="D23" s="761"/>
      <c r="E23" s="761"/>
      <c r="F23" s="761"/>
      <c r="G23" s="761"/>
      <c r="H23" s="761"/>
      <c r="I23" s="761"/>
      <c r="J23" s="714"/>
      <c r="K23" s="714"/>
      <c r="L23" s="714"/>
      <c r="M23" s="714"/>
      <c r="N23" s="714"/>
      <c r="O23" s="714"/>
      <c r="P23" s="714"/>
      <c r="Q23" s="714"/>
      <c r="R23" s="714"/>
      <c r="S23" s="714"/>
      <c r="T23" s="714"/>
      <c r="U23" s="416"/>
      <c r="V23" s="416"/>
      <c r="W23" s="416"/>
      <c r="X23" s="416"/>
      <c r="Y23" s="416"/>
      <c r="Z23" s="415"/>
      <c r="AA23" s="415"/>
      <c r="AB23" s="415"/>
      <c r="AC23" s="415"/>
      <c r="AD23" s="415"/>
      <c r="AE23" s="415"/>
      <c r="AF23" s="415"/>
      <c r="AG23" s="417"/>
      <c r="AH23" s="417"/>
      <c r="AI23" s="417"/>
      <c r="AJ23" s="417"/>
    </row>
    <row r="24" spans="1:36" s="4" customFormat="1" ht="36.65" customHeight="1" outlineLevel="1" x14ac:dyDescent="0.35">
      <c r="A24" s="89"/>
      <c r="B24" s="89"/>
      <c r="C24" s="89"/>
      <c r="D24" s="89"/>
      <c r="E24" s="89"/>
      <c r="F24" s="89"/>
      <c r="G24" s="89"/>
      <c r="H24" s="89"/>
      <c r="I24" s="89"/>
      <c r="J24" s="89"/>
      <c r="M24" s="89"/>
      <c r="N24" s="89"/>
      <c r="O24" s="89"/>
      <c r="P24" s="89"/>
      <c r="Q24" s="89"/>
      <c r="R24" s="89"/>
      <c r="S24" s="89"/>
      <c r="T24" s="89"/>
      <c r="U24" s="90"/>
      <c r="V24" s="418"/>
      <c r="W24" s="419" t="s">
        <v>404</v>
      </c>
      <c r="X24" s="89"/>
      <c r="Y24" s="89"/>
      <c r="Z24" s="89"/>
      <c r="AA24" s="89"/>
      <c r="AC24" s="89"/>
      <c r="AD24" s="89"/>
      <c r="AE24" s="89"/>
      <c r="AF24" s="89"/>
      <c r="AG24" s="90"/>
      <c r="AJ24" s="8"/>
    </row>
    <row r="25" spans="1:36" s="406" customFormat="1" ht="93" outlineLevel="1" x14ac:dyDescent="0.3">
      <c r="A25" s="420" t="s">
        <v>29</v>
      </c>
      <c r="B25" s="420" t="s">
        <v>196</v>
      </c>
      <c r="C25" s="420" t="s">
        <v>59</v>
      </c>
      <c r="D25" s="420" t="s">
        <v>169</v>
      </c>
      <c r="E25" s="421" t="s">
        <v>214</v>
      </c>
      <c r="F25" s="422" t="s">
        <v>257</v>
      </c>
      <c r="G25" s="423" t="s">
        <v>253</v>
      </c>
      <c r="H25" s="424" t="s">
        <v>210</v>
      </c>
      <c r="I25" s="423" t="s">
        <v>254</v>
      </c>
      <c r="J25" s="425" t="s">
        <v>291</v>
      </c>
      <c r="K25" s="431" t="s">
        <v>255</v>
      </c>
      <c r="L25" s="423" t="s">
        <v>341</v>
      </c>
      <c r="M25" s="426" t="s">
        <v>211</v>
      </c>
      <c r="N25" s="425" t="s">
        <v>292</v>
      </c>
      <c r="O25" s="536" t="s">
        <v>342</v>
      </c>
      <c r="P25" s="559" t="s">
        <v>306</v>
      </c>
      <c r="Q25" s="558" t="s">
        <v>248</v>
      </c>
      <c r="R25" s="430" t="s">
        <v>247</v>
      </c>
      <c r="S25" s="537" t="s">
        <v>299</v>
      </c>
      <c r="T25" s="427" t="s">
        <v>212</v>
      </c>
      <c r="U25" s="428" t="s">
        <v>213</v>
      </c>
      <c r="V25" s="560" t="s">
        <v>258</v>
      </c>
      <c r="W25" s="431" t="s">
        <v>293</v>
      </c>
      <c r="X25" s="432" t="s">
        <v>294</v>
      </c>
      <c r="Y25" s="431" t="s">
        <v>295</v>
      </c>
      <c r="Z25" s="432" t="s">
        <v>296</v>
      </c>
      <c r="AA25" s="431" t="s">
        <v>297</v>
      </c>
      <c r="AB25" s="433" t="s">
        <v>298</v>
      </c>
      <c r="AC25" s="428" t="s">
        <v>159</v>
      </c>
      <c r="AE25" s="8"/>
    </row>
    <row r="26" spans="1:36" ht="48.65" customHeight="1" outlineLevel="1" x14ac:dyDescent="0.3">
      <c r="A26" s="541" t="s">
        <v>144</v>
      </c>
      <c r="B26" s="542"/>
      <c r="C26" s="434" t="s">
        <v>208</v>
      </c>
      <c r="D26" s="543" t="s">
        <v>208</v>
      </c>
      <c r="E26" s="544" t="str">
        <f>IF(D26="Gemeinschaftliche Investitionen im Interesse des Gesamtprojekts",1,IF(D26="Aufbau eines Betriebszweiges auf dem Landwirtschaftsbetrieb",2,IF(D26="BZ: Gemeinschaftliche Verarbeitung, Lagerung und Vermarktung regionaler landwirtschaftlicher Erzeugnisse",3,IF(D26="HZ: Gemeinschaftliche Verarbeitung, Lagerung und Vermarktung regionaler landwirtschaftlicher Erzeugnisse",4,IF(D26="Talgebiet: Gemeinschaftliche Verarbeitung, Lagerung und Vermarktung regionaler landwirtschaftlicher Erzeugnisse",5,IF(D26="Weitere Massnahmen im Interesse des Gesamtprojekts (Reduktion mind. 50%)",6,IF(D26="Alpgebäude",7,IF(D26="Einzelbetriebliche Stallbauten Raufutterverzehrer",8,IF(D26="Meliorationen Massnahmen",9,IF(D26="Einzelbetriebliche Massnahmen ökologischer Ziele",10,IF(D26="Einzelbetriebliche Verarbeitung Kleingewerbe",11,IF(D26="…bitte Massnahme auswählen",""))))))))))))</f>
        <v/>
      </c>
      <c r="F26" s="545"/>
      <c r="G26" s="546">
        <f>B26-F26</f>
        <v>0</v>
      </c>
      <c r="H26" s="435" t="str">
        <f>IF(E26=1,IF($B$3="wertschöpfungskettenorientiert",'Dropdown input'!$C$8,IF('Übersicht TP '!$B$3="sektorübergreifend",'Dropdown input'!$D$8,IF($B$3="auswählen",""))),IF(E26=2,IF($B$3="wertschöpfungskettenorientiert",'Dropdown input'!$C$9,IF('Übersicht TP '!$B$3="sektorübergreifend",'Dropdown input'!$D$9,IF($B$3="auswählen",""))),IF(E26=3,IF($B$3="wertschöpfungskettenorientiert",'Dropdown input'!$C$10,IF('Übersicht TP '!$B$3="sektorübergreifend",'Dropdown input'!$D$10,IF($B$3="auswählen",""))),IF(E26=4,IF($B$3="wertschöpfungskettenorientiert",'Dropdown input'!$C$11,IF('Übersicht TP '!$B$3="sektorübergreifend",'Dropdown input'!$D$11,IF($B$3="auswählen",""))),IF(E26=5,IF($B$3="wertschöpfungskettenorientiert",'Dropdown input'!$C$12,IF('Übersicht TP '!$B$3="sektorübergreifend",'Dropdown input'!$D$12,IF($B$3="auswählen",""))),IF(E26=6,IF($B$3="wertschöpfungskettenorientiert",'Dropdown input'!$C$13,IF('Übersicht TP '!$B$3="sektorübergreifend",'Dropdown input'!$D$13,IF($B$3="auswählen",""))),IF(E26=7,IF($B$3="wertschöpfungskettenorientiert",'Dropdown input'!$C$14,IF('Übersicht TP '!$B$3="sektorübergreifend",'Dropdown input'!$D$14,IF($B$3="auswählen",""))),IF(E26=8,IF($B$3="wertschöpfungskettenorientiert",'Dropdown input'!$C$15,IF('Übersicht TP '!$B$3="sektorübergreifend",'Dropdown input'!$D$15,IF($B$3="auswählen",""))),IF(E26=9,IF($B$3="wertschöpfungskettenorientiert",'Dropdown input'!$C$16,IF('Übersicht TP '!$B$3="sektorübergreifend",'Dropdown input'!$D$16,IF($B$3="auswählen",""))),IF(E26=10,IF($B$3="wertschöpfungskettenorientiert",'Dropdown input'!$C$17,IF('Übersicht TP '!$B$3="sektorübergreifend",'Dropdown input'!$D$17,IF($B$3="auswählen",""))),IF(E26=11,IF($B$3="wertschöpfungskettenorientiert",'Dropdown input'!$C$18,IF('Übersicht TP '!$B$3="sektorübergreifend",'Dropdown input'!$D$18,IF($B$3="auswählen",""))),IF(E26="",""))))))))))))</f>
        <v/>
      </c>
      <c r="I26" s="546" t="str">
        <f>IFERROR(G26-G26*H26,"")</f>
        <v/>
      </c>
      <c r="J26" s="547" t="str">
        <f>IF(E26=1,(IF(C26="Tal",34%,IF(C26="HZ / BZ I",37%,IF(C26="BZ II - IV, Sömmerungsgebiet",40%,)))),IF(E26=2,(IF(C26="Tal",34%,IF(C26="HZ / BZ I",37%,IF(C26="BZ II - IV, Sömmerungsgebiet",40%,)))),IF(E26=3,22%,IF(E26=4,37%,IF(E26=5,34%,IF(E26=6,(IF(C26="Tal",34%,IF(C26="HZ / BZ I",37%,IF(C26="BZ II - IV, Sömmerungsgebiet",40%,)))),IF(E26=7,"N/A",IF(E26=8,"N/A",IF(E26=9,"bitte BLW kontaktieren",IF(E26=10,"N/A",IF(E26=11,22%,IF(E26="",""))))))))))))</f>
        <v/>
      </c>
      <c r="K26" s="549" t="str">
        <f>IF(E26=1,'Dropdown input'!$I$8,IF(E26=2,'Dropdown input'!$I$9,IF(E26=3,'Dropdown input'!$I$10,IF(E26=4,'Dropdown input'!$I$11,IF(E26=5,'Dropdown input'!$I$12,IF(E26=6,'Dropdown input'!$I$13,IF(E26=7,'Dropdown input'!$I$14,IF(E26=8,'Dropdown input'!$I$15,IF(E26=9,"Bitte BLW kontaktieren",IF(E26=11,'Dropdown input'!$I$18,IF(A26=10,'Dropdown input'!$I$17,"")))))))))))</f>
        <v/>
      </c>
      <c r="L26" s="593" t="str">
        <f>IFERROR(IF(J26="N/A","übertragen aus Hochbauvorlage",I26*K26*J26),"")</f>
        <v/>
      </c>
      <c r="M26" s="436" t="str">
        <f>IF(E26=1,IF($B$3="wertschöpfungskettenorientiert",'Dropdown input'!$E$8,IF('Übersicht TP '!$B$3="sektorübergreifend",'Dropdown input'!$F$8,IF($B$3="auswählen",""))),IF(E26=2,IF($B$3="wertschöpfungskettenorientiert",'Dropdown input'!$E$9,IF('Übersicht TP '!$B$3="sektorübergreifend",'Dropdown input'!$F$9,IF($B$3="auswählen",""))),IF(E26=3,IF($B$3="wertschöpfungskettenorientiert",'Dropdown input'!$E$10,IF('Übersicht TP '!$B$3="sektorübergreifend",'Dropdown input'!$F$10,IF($B$3="auswählen",""))),IF(E26=4,IF($B$3="wertschöpfungskettenorientiert",'Dropdown input'!$E$11,IF('Übersicht TP '!$B$3="sektorübergreifend",'Dropdown input'!$F$11,IF($B$3="auswählen",""))),IF(E26=5,IF($B$3="wertschöpfungskettenorientiert",'Dropdown input'!$E$12,IF('Übersicht TP '!$B$3="sektorübergreifend",'Dropdown input'!$F$12,IF($B$3="auswählen",""))),IF(E26=6,IF($B$3="wertschöpfungskettenorientiert",'Dropdown input'!$E$13,IF('Übersicht TP '!$B$3="sektorübergreifend",'Dropdown input'!$F$13,IF($B$3="auswählen",""))),IF(E26=7,IF($B$3="wertschöpfungskettenorientiert",'Dropdown input'!$E$14,IF('Übersicht TP '!$B$3="sektorübergreifend",'Dropdown input'!$F$14,IF($B$3="auswählen",""))),IF(E26=8,IF($B$3="wertschöpfungskettenorientiert",'Dropdown input'!$E$15,IF('Übersicht TP '!$B$3="sektorübergreifend",'Dropdown input'!$F$15,IF($B$3="auswählen",""))),IF(E26=9,IF($B$3="wertschöpfungskettenorientiert",'Dropdown input'!$E$16,IF('Übersicht TP '!$B$3="sektorübergreifend",'Dropdown input'!$F$16,IF($B$3="auswählen",""))),IF(E26=10,IF($B$3="wertschöpfungskettenorientiert",'Dropdown input'!$E$17,IF('Übersicht TP '!$B$3="sektorübergreifend",'Dropdown input'!$E$17,IF($B$3="auswählen",""))),IF(E26=11,IF($B$3="wertschöpfungskettenorientiert",'Dropdown input'!$E$18,IF('Übersicht TP '!$B$3="sektorübergreifend",'Dropdown input'!$F$18,IF($B$3="auswählen",""))),IF(E26="",""))))))))))))</f>
        <v/>
      </c>
      <c r="N26" s="548" t="str">
        <f>IFERROR(IF(J26="N/A",(L26/(K26*I26))*M26+(L26/(K26*I26)),J26+J26*M26),"")</f>
        <v/>
      </c>
      <c r="O26" s="688" t="str">
        <f>IFERROR(I26*(N26*K26),"")</f>
        <v/>
      </c>
      <c r="P26" s="561"/>
      <c r="Q26" s="551" t="str">
        <f>IFERROR((P26+O26)/I26,"")</f>
        <v/>
      </c>
      <c r="R26" s="552" t="str">
        <f t="shared" ref="R26:R34" si="0">IFERROR(IF(Q26&lt;K26*N26,Q26/K26,N26),"")</f>
        <v/>
      </c>
      <c r="S26" s="553" t="str">
        <f t="shared" ref="S26:S34" si="1">IFERROR(R26*I26,"")</f>
        <v/>
      </c>
      <c r="T26" s="554">
        <f>IFERROR(O26+S26+P26,0)</f>
        <v>0</v>
      </c>
      <c r="U26" s="437" t="str">
        <f t="shared" ref="U26:U35" si="2">IFERROR(T26/B26,"")</f>
        <v/>
      </c>
      <c r="V26" s="556">
        <f>B26-T26</f>
        <v>0</v>
      </c>
      <c r="W26" s="555"/>
      <c r="X26" s="545"/>
      <c r="Y26" s="555"/>
      <c r="Z26" s="545"/>
      <c r="AA26" s="555"/>
      <c r="AB26" s="555"/>
      <c r="AC26" s="557" t="str">
        <f t="shared" ref="AC26:AC34" si="3">IFERROR(IF(V26=(B26-T26),"Finanzierung=Investitionssumme","Fehler"),"N/A")</f>
        <v>Finanzierung=Investitionssumme</v>
      </c>
    </row>
    <row r="27" spans="1:36" ht="45" customHeight="1" outlineLevel="1" x14ac:dyDescent="0.3">
      <c r="A27" s="438" t="s">
        <v>145</v>
      </c>
      <c r="B27" s="439"/>
      <c r="C27" s="440" t="s">
        <v>208</v>
      </c>
      <c r="D27" s="543" t="s">
        <v>208</v>
      </c>
      <c r="E27" s="544" t="str">
        <f t="shared" ref="E27:E34" si="4">IF(D27="Gemeinschaftliche Investitionen im Interesse des Gesamtprojekts",1,IF(D27="Aufbau eines Betriebszweiges auf dem Landwirtschaftsbetrieb",2,IF(D27="BZ: Gemeinschaftliche Verarbeitung, Lagerung und Vermarktung regionaler landwirtschaftlicher Erzeugnisse",3,IF(D27="HZ: Gemeinschaftliche Verarbeitung, Lagerung und Vermarktung regionaler landwirtschaftlicher Erzeugnisse",4,IF(D27="Talgebiet: Gemeinschaftliche Verarbeitung, Lagerung und Vermarktung regionaler landwirtschaftlicher Erzeugnisse",5,IF(D27="Weitere Massnahmen im Interesse des Gesamtprojekts (Reduktion mind. 50%)",6,IF(D27="Alpgebäude",7,IF(D27="Einzelbetriebliche Stallbauten Raufutterverzehrer",8,IF(D27="Meliorationen Massnahmen",9,IF(D27="Einzelbetriebliche Massnahmen ökologischer Ziele",10,IF(D27="Einzelbetriebliche Verarbeitung Kleingewerbe",11,IF(D27="…bitte Massnahme auswählen",""))))))))))))</f>
        <v/>
      </c>
      <c r="F27" s="442"/>
      <c r="G27" s="443">
        <f t="shared" ref="G27:G33" si="5">B27-F27</f>
        <v>0</v>
      </c>
      <c r="H27" s="435" t="str">
        <f>IF(E27=1,IF($B$3="wertschöpfungskettenorientiert",'Dropdown input'!$C$8,IF('Übersicht TP '!$B$3="sektorübergreifend",'Dropdown input'!$D$8,IF($B$3="auswählen",""))),IF(E27=2,IF($B$3="wertschöpfungskettenorientiert",'Dropdown input'!$C$9,IF('Übersicht TP '!$B$3="sektorübergreifend",'Dropdown input'!$D$9,IF($B$3="auswählen",""))),IF(E27=3,IF($B$3="wertschöpfungskettenorientiert",'Dropdown input'!$C$10,IF('Übersicht TP '!$B$3="sektorübergreifend",'Dropdown input'!$D$10,IF($B$3="auswählen",""))),IF(E27=4,IF($B$3="wertschöpfungskettenorientiert",'Dropdown input'!$C$11,IF('Übersicht TP '!$B$3="sektorübergreifend",'Dropdown input'!$D$11,IF($B$3="auswählen",""))),IF(E27=5,IF($B$3="wertschöpfungskettenorientiert",'Dropdown input'!$C$12,IF('Übersicht TP '!$B$3="sektorübergreifend",'Dropdown input'!$D$12,IF($B$3="auswählen",""))),IF(E27=6,IF($B$3="wertschöpfungskettenorientiert",'Dropdown input'!$C$13,IF('Übersicht TP '!$B$3="sektorübergreifend",'Dropdown input'!$D$13,IF($B$3="auswählen",""))),IF(E27=7,IF($B$3="wertschöpfungskettenorientiert",'Dropdown input'!$C$14,IF('Übersicht TP '!$B$3="sektorübergreifend",'Dropdown input'!$D$14,IF($B$3="auswählen",""))),IF(E27=8,IF($B$3="wertschöpfungskettenorientiert",'Dropdown input'!$C$15,IF('Übersicht TP '!$B$3="sektorübergreifend",'Dropdown input'!$D$15,IF($B$3="auswählen",""))),IF(E27=9,IF($B$3="wertschöpfungskettenorientiert",'Dropdown input'!$C$16,IF('Übersicht TP '!$B$3="sektorübergreifend",'Dropdown input'!$D$16,IF($B$3="auswählen",""))),IF(E27=10,IF($B$3="wertschöpfungskettenorientiert",'Dropdown input'!$C$17,IF('Übersicht TP '!$B$3="sektorübergreifend",'Dropdown input'!$D$17,IF($B$3="auswählen",""))),IF(E27=11,IF($B$3="wertschöpfungskettenorientiert",'Dropdown input'!$C$18,IF('Übersicht TP '!$B$3="sektorübergreifend",'Dropdown input'!$D$18,IF($B$3="auswählen",""))),IF(E27="",""))))))))))))</f>
        <v/>
      </c>
      <c r="I27" s="443" t="str">
        <f t="shared" ref="I27:I33" si="6">IFERROR(G27-G27*H27,"")</f>
        <v/>
      </c>
      <c r="J27" s="547" t="str">
        <f t="shared" ref="J27:J34" si="7">IF(E27=1,(IF(C27="Tal",34%,IF(C27="HZ / BZ I",37%,IF(C27="BZ II - IV, Sömmerungsgebiet",40%,)))),IF(E27=2,(IF(C27="Tal",34%,IF(C27="HZ / BZ I",37%,IF(C27="BZ II - IV, Sömmerungsgebiet",40%,)))),IF(E27=3,22%,IF(E27=4,37%,IF(E27=5,34%,IF(E27=6,(IF(C27="Tal",34%,IF(C27="HZ / BZ I",37%,IF(C27="BZ II - IV, Sömmerungsgebiet",40%,)))),IF(E27=7,"N/A",IF(E27=8,"N/A",IF(E27=9,"bitte BLW kontaktieren",IF(E27=10,"N/A",IF(E27=11,22%,IF(E27="",""))))))))))))</f>
        <v/>
      </c>
      <c r="K27" s="549" t="str">
        <f>IF(E27=1,'Dropdown input'!$I$8,IF(E27=2,'Dropdown input'!$I$9,IF(E27=3,'Dropdown input'!$I$10,IF(E27=4,'Dropdown input'!$I$11,IF(E27=5,'Dropdown input'!$I$12,IF(E27=6,'Dropdown input'!$I$13,IF(E27=7,'Dropdown input'!$I$14,IF(E27=8,'Dropdown input'!$I$15,IF(E27=9,"Bitte BLW kontaktieren",IF(E27=11,'Dropdown input'!$I$18,IF(A27=10,'Dropdown input'!$I$17,"")))))))))))</f>
        <v/>
      </c>
      <c r="L27" s="593" t="str">
        <f t="shared" ref="L27:L34" si="8">IFERROR(IF(J27="N/A","übertragen aus Hochbauvorlage",I27*K27*J27),"")</f>
        <v/>
      </c>
      <c r="M27" s="436" t="str">
        <f>IF(E27=1,IF($B$3="wertschöpfungskettenorientiert",'Dropdown input'!$E$8,IF('Übersicht TP '!$B$3="sektorübergreifend",'Dropdown input'!$F$8,IF($B$3="auswählen",""))),IF(E27=2,IF($B$3="wertschöpfungskettenorientiert",'Dropdown input'!$E$9,IF('Übersicht TP '!$B$3="sektorübergreifend",'Dropdown input'!$F$9,IF($B$3="auswählen",""))),IF(E27=3,IF($B$3="wertschöpfungskettenorientiert",'Dropdown input'!$E$10,IF('Übersicht TP '!$B$3="sektorübergreifend",'Dropdown input'!$F$10,IF($B$3="auswählen",""))),IF(E27=4,IF($B$3="wertschöpfungskettenorientiert",'Dropdown input'!$E$11,IF('Übersicht TP '!$B$3="sektorübergreifend",'Dropdown input'!$F$11,IF($B$3="auswählen",""))),IF(E27=5,IF($B$3="wertschöpfungskettenorientiert",'Dropdown input'!$E$12,IF('Übersicht TP '!$B$3="sektorübergreifend",'Dropdown input'!$F$12,IF($B$3="auswählen",""))),IF(E27=6,IF($B$3="wertschöpfungskettenorientiert",'Dropdown input'!$E$13,IF('Übersicht TP '!$B$3="sektorübergreifend",'Dropdown input'!$F$13,IF($B$3="auswählen",""))),IF(E27=7,IF($B$3="wertschöpfungskettenorientiert",'Dropdown input'!$E$14,IF('Übersicht TP '!$B$3="sektorübergreifend",'Dropdown input'!$F$14,IF($B$3="auswählen",""))),IF(E27=8,IF($B$3="wertschöpfungskettenorientiert",'Dropdown input'!$E$15,IF('Übersicht TP '!$B$3="sektorübergreifend",'Dropdown input'!$F$15,IF($B$3="auswählen",""))),IF(E27=9,IF($B$3="wertschöpfungskettenorientiert",'Dropdown input'!$E$16,IF('Übersicht TP '!$B$3="sektorübergreifend",'Dropdown input'!$F$16,IF($B$3="auswählen",""))),IF(E27=10,IF($B$3="wertschöpfungskettenorientiert",'Dropdown input'!$E$17,IF('Übersicht TP '!$B$3="sektorübergreifend",'Dropdown input'!$E$17,IF($B$3="auswählen",""))),IF(E27=11,IF($B$3="wertschöpfungskettenorientiert",'Dropdown input'!$E$18,IF('Übersicht TP '!$B$3="sektorübergreifend",'Dropdown input'!$F$18,IF($B$3="auswählen",""))),IF(E27="",""))))))))))))</f>
        <v/>
      </c>
      <c r="N27" s="548" t="str">
        <f t="shared" ref="N27:N34" si="9">IFERROR(IF(J27="N/A",(L27/(K27*I27))*M27+(L27/(K27*I27)),J27+J27*M27),"")</f>
        <v/>
      </c>
      <c r="O27" s="688" t="str">
        <f t="shared" ref="O27:O34" si="10">IFERROR(I27*(N27*K27),"")</f>
        <v/>
      </c>
      <c r="P27" s="562"/>
      <c r="Q27" s="540" t="str">
        <f t="shared" ref="Q27:Q34" si="11">IFERROR((P27+O27)/I27,"")</f>
        <v/>
      </c>
      <c r="R27" s="552" t="str">
        <f t="shared" si="0"/>
        <v/>
      </c>
      <c r="S27" s="538" t="str">
        <f t="shared" si="1"/>
        <v/>
      </c>
      <c r="T27" s="554">
        <f t="shared" ref="T27:T34" si="12">IFERROR(O27+S27+P27,0)</f>
        <v>0</v>
      </c>
      <c r="U27" s="437" t="str">
        <f t="shared" si="2"/>
        <v/>
      </c>
      <c r="V27" s="556">
        <f t="shared" ref="V27:V34" si="13">B27-T27</f>
        <v>0</v>
      </c>
      <c r="W27" s="444"/>
      <c r="X27" s="442"/>
      <c r="Y27" s="444"/>
      <c r="Z27" s="442"/>
      <c r="AA27" s="444"/>
      <c r="AB27" s="444"/>
      <c r="AC27" s="445" t="str">
        <f t="shared" si="3"/>
        <v>Finanzierung=Investitionssumme</v>
      </c>
    </row>
    <row r="28" spans="1:36" ht="45" customHeight="1" outlineLevel="1" x14ac:dyDescent="0.3">
      <c r="A28" s="438" t="s">
        <v>146</v>
      </c>
      <c r="B28" s="439"/>
      <c r="C28" s="440" t="s">
        <v>208</v>
      </c>
      <c r="D28" s="543" t="s">
        <v>208</v>
      </c>
      <c r="E28" s="544" t="str">
        <f t="shared" si="4"/>
        <v/>
      </c>
      <c r="F28" s="442"/>
      <c r="G28" s="443">
        <f t="shared" si="5"/>
        <v>0</v>
      </c>
      <c r="H28" s="435" t="str">
        <f>IF(E28=1,IF($B$3="wertschöpfungskettenorientiert",'Dropdown input'!$C$8,IF('Übersicht TP '!$B$3="sektorübergreifend",'Dropdown input'!$D$8,IF($B$3="auswählen",""))),IF(E28=2,IF($B$3="wertschöpfungskettenorientiert",'Dropdown input'!$C$9,IF('Übersicht TP '!$B$3="sektorübergreifend",'Dropdown input'!$D$9,IF($B$3="auswählen",""))),IF(E28=3,IF($B$3="wertschöpfungskettenorientiert",'Dropdown input'!$C$10,IF('Übersicht TP '!$B$3="sektorübergreifend",'Dropdown input'!$D$10,IF($B$3="auswählen",""))),IF(E28=4,IF($B$3="wertschöpfungskettenorientiert",'Dropdown input'!$C$11,IF('Übersicht TP '!$B$3="sektorübergreifend",'Dropdown input'!$D$11,IF($B$3="auswählen",""))),IF(E28=5,IF($B$3="wertschöpfungskettenorientiert",'Dropdown input'!$C$12,IF('Übersicht TP '!$B$3="sektorübergreifend",'Dropdown input'!$D$12,IF($B$3="auswählen",""))),IF(E28=6,IF($B$3="wertschöpfungskettenorientiert",'Dropdown input'!$C$13,IF('Übersicht TP '!$B$3="sektorübergreifend",'Dropdown input'!$D$13,IF($B$3="auswählen",""))),IF(E28=7,IF($B$3="wertschöpfungskettenorientiert",'Dropdown input'!$C$14,IF('Übersicht TP '!$B$3="sektorübergreifend",'Dropdown input'!$D$14,IF($B$3="auswählen",""))),IF(E28=8,IF($B$3="wertschöpfungskettenorientiert",'Dropdown input'!$C$15,IF('Übersicht TP '!$B$3="sektorübergreifend",'Dropdown input'!$D$15,IF($B$3="auswählen",""))),IF(E28=9,IF($B$3="wertschöpfungskettenorientiert",'Dropdown input'!$C$16,IF('Übersicht TP '!$B$3="sektorübergreifend",'Dropdown input'!$D$16,IF($B$3="auswählen",""))),IF(E28=10,IF($B$3="wertschöpfungskettenorientiert",'Dropdown input'!$C$17,IF('Übersicht TP '!$B$3="sektorübergreifend",'Dropdown input'!$D$17,IF($B$3="auswählen",""))),IF(E28=11,IF($B$3="wertschöpfungskettenorientiert",'Dropdown input'!$C$18,IF('Übersicht TP '!$B$3="sektorübergreifend",'Dropdown input'!$D$18,IF($B$3="auswählen",""))),IF(E28="",""))))))))))))</f>
        <v/>
      </c>
      <c r="I28" s="443" t="str">
        <f t="shared" si="6"/>
        <v/>
      </c>
      <c r="J28" s="547" t="str">
        <f t="shared" si="7"/>
        <v/>
      </c>
      <c r="K28" s="549" t="str">
        <f>IF(E28=1,'Dropdown input'!$I$8,IF(E28=2,'Dropdown input'!$I$9,IF(E28=3,'Dropdown input'!$I$10,IF(E28=4,'Dropdown input'!$I$11,IF(E28=5,'Dropdown input'!$I$12,IF(E28=6,'Dropdown input'!$I$13,IF(E28=7,'Dropdown input'!$I$14,IF(E28=8,'Dropdown input'!$I$15,IF(E28=9,"Bitte BLW kontaktieren",IF(E28=11,'Dropdown input'!$I$18,IF(A28=10,'Dropdown input'!$I$17,"")))))))))))</f>
        <v/>
      </c>
      <c r="L28" s="593" t="str">
        <f t="shared" si="8"/>
        <v/>
      </c>
      <c r="M28" s="436" t="str">
        <f>IF(E28=1,IF($B$3="wertschöpfungskettenorientiert",'Dropdown input'!$E$8,IF('Übersicht TP '!$B$3="sektorübergreifend",'Dropdown input'!$F$8,IF($B$3="auswählen",""))),IF(E28=2,IF($B$3="wertschöpfungskettenorientiert",'Dropdown input'!$E$9,IF('Übersicht TP '!$B$3="sektorübergreifend",'Dropdown input'!$F$9,IF($B$3="auswählen",""))),IF(E28=3,IF($B$3="wertschöpfungskettenorientiert",'Dropdown input'!$E$10,IF('Übersicht TP '!$B$3="sektorübergreifend",'Dropdown input'!$F$10,IF($B$3="auswählen",""))),IF(E28=4,IF($B$3="wertschöpfungskettenorientiert",'Dropdown input'!$E$11,IF('Übersicht TP '!$B$3="sektorübergreifend",'Dropdown input'!$F$11,IF($B$3="auswählen",""))),IF(E28=5,IF($B$3="wertschöpfungskettenorientiert",'Dropdown input'!$E$12,IF('Übersicht TP '!$B$3="sektorübergreifend",'Dropdown input'!$F$12,IF($B$3="auswählen",""))),IF(E28=6,IF($B$3="wertschöpfungskettenorientiert",'Dropdown input'!$E$13,IF('Übersicht TP '!$B$3="sektorübergreifend",'Dropdown input'!$F$13,IF($B$3="auswählen",""))),IF(E28=7,IF($B$3="wertschöpfungskettenorientiert",'Dropdown input'!$E$14,IF('Übersicht TP '!$B$3="sektorübergreifend",'Dropdown input'!$F$14,IF($B$3="auswählen",""))),IF(E28=8,IF($B$3="wertschöpfungskettenorientiert",'Dropdown input'!$E$15,IF('Übersicht TP '!$B$3="sektorübergreifend",'Dropdown input'!$F$15,IF($B$3="auswählen",""))),IF(E28=9,IF($B$3="wertschöpfungskettenorientiert",'Dropdown input'!$E$16,IF('Übersicht TP '!$B$3="sektorübergreifend",'Dropdown input'!$F$16,IF($B$3="auswählen",""))),IF(E28=10,IF($B$3="wertschöpfungskettenorientiert",'Dropdown input'!$E$17,IF('Übersicht TP '!$B$3="sektorübergreifend",'Dropdown input'!$E$17,IF($B$3="auswählen",""))),IF(E28=11,IF($B$3="wertschöpfungskettenorientiert",'Dropdown input'!$E$18,IF('Übersicht TP '!$B$3="sektorübergreifend",'Dropdown input'!$F$18,IF($B$3="auswählen",""))),IF(E28="",""))))))))))))</f>
        <v/>
      </c>
      <c r="N28" s="548" t="str">
        <f t="shared" si="9"/>
        <v/>
      </c>
      <c r="O28" s="688" t="str">
        <f t="shared" si="10"/>
        <v/>
      </c>
      <c r="P28" s="562"/>
      <c r="Q28" s="540" t="str">
        <f t="shared" si="11"/>
        <v/>
      </c>
      <c r="R28" s="552" t="str">
        <f t="shared" si="0"/>
        <v/>
      </c>
      <c r="S28" s="538" t="str">
        <f t="shared" si="1"/>
        <v/>
      </c>
      <c r="T28" s="554">
        <f t="shared" si="12"/>
        <v>0</v>
      </c>
      <c r="U28" s="437" t="str">
        <f t="shared" si="2"/>
        <v/>
      </c>
      <c r="V28" s="556">
        <f t="shared" si="13"/>
        <v>0</v>
      </c>
      <c r="W28" s="444"/>
      <c r="X28" s="442"/>
      <c r="Y28" s="444"/>
      <c r="Z28" s="442"/>
      <c r="AA28" s="444"/>
      <c r="AB28" s="444"/>
      <c r="AC28" s="445" t="str">
        <f t="shared" si="3"/>
        <v>Finanzierung=Investitionssumme</v>
      </c>
    </row>
    <row r="29" spans="1:36" ht="45" customHeight="1" outlineLevel="1" x14ac:dyDescent="0.3">
      <c r="A29" s="438" t="s">
        <v>147</v>
      </c>
      <c r="B29" s="439"/>
      <c r="C29" s="440" t="s">
        <v>208</v>
      </c>
      <c r="D29" s="543" t="s">
        <v>208</v>
      </c>
      <c r="E29" s="544" t="str">
        <f t="shared" si="4"/>
        <v/>
      </c>
      <c r="F29" s="442"/>
      <c r="G29" s="443">
        <f t="shared" si="5"/>
        <v>0</v>
      </c>
      <c r="H29" s="435" t="str">
        <f>IF(E29=1,IF($B$3="wertschöpfungskettenorientiert",'Dropdown input'!$C$8,IF('Übersicht TP '!$B$3="sektorübergreifend",'Dropdown input'!$D$8,IF($B$3="auswählen",""))),IF(E29=2,IF($B$3="wertschöpfungskettenorientiert",'Dropdown input'!$C$9,IF('Übersicht TP '!$B$3="sektorübergreifend",'Dropdown input'!$D$9,IF($B$3="auswählen",""))),IF(E29=3,IF($B$3="wertschöpfungskettenorientiert",'Dropdown input'!$C$10,IF('Übersicht TP '!$B$3="sektorübergreifend",'Dropdown input'!$D$10,IF($B$3="auswählen",""))),IF(E29=4,IF($B$3="wertschöpfungskettenorientiert",'Dropdown input'!$C$11,IF('Übersicht TP '!$B$3="sektorübergreifend",'Dropdown input'!$D$11,IF($B$3="auswählen",""))),IF(E29=5,IF($B$3="wertschöpfungskettenorientiert",'Dropdown input'!$C$12,IF('Übersicht TP '!$B$3="sektorübergreifend",'Dropdown input'!$D$12,IF($B$3="auswählen",""))),IF(E29=6,IF($B$3="wertschöpfungskettenorientiert",'Dropdown input'!$C$13,IF('Übersicht TP '!$B$3="sektorübergreifend",'Dropdown input'!$D$13,IF($B$3="auswählen",""))),IF(E29=7,IF($B$3="wertschöpfungskettenorientiert",'Dropdown input'!$C$14,IF('Übersicht TP '!$B$3="sektorübergreifend",'Dropdown input'!$D$14,IF($B$3="auswählen",""))),IF(E29=8,IF($B$3="wertschöpfungskettenorientiert",'Dropdown input'!$C$15,IF('Übersicht TP '!$B$3="sektorübergreifend",'Dropdown input'!$D$15,IF($B$3="auswählen",""))),IF(E29=9,IF($B$3="wertschöpfungskettenorientiert",'Dropdown input'!$C$16,IF('Übersicht TP '!$B$3="sektorübergreifend",'Dropdown input'!$D$16,IF($B$3="auswählen",""))),IF(E29=10,IF($B$3="wertschöpfungskettenorientiert",'Dropdown input'!$C$17,IF('Übersicht TP '!$B$3="sektorübergreifend",'Dropdown input'!$D$17,IF($B$3="auswählen",""))),IF(E29=11,IF($B$3="wertschöpfungskettenorientiert",'Dropdown input'!$C$18,IF('Übersicht TP '!$B$3="sektorübergreifend",'Dropdown input'!$D$18,IF($B$3="auswählen",""))),IF(E29="",""))))))))))))</f>
        <v/>
      </c>
      <c r="I29" s="443" t="str">
        <f>IFERROR(G29-G29*H29,"")</f>
        <v/>
      </c>
      <c r="J29" s="547" t="str">
        <f t="shared" si="7"/>
        <v/>
      </c>
      <c r="K29" s="549" t="str">
        <f>IF(E29=1,'Dropdown input'!$I$8,IF(E29=2,'Dropdown input'!$I$9,IF(E29=3,'Dropdown input'!$I$10,IF(E29=4,'Dropdown input'!$I$11,IF(E29=5,'Dropdown input'!$I$12,IF(E29=6,'Dropdown input'!$I$13,IF(E29=7,'Dropdown input'!$I$14,IF(E29=8,'Dropdown input'!$I$15,IF(E29=9,"Bitte BLW kontaktieren",IF(E29=11,'Dropdown input'!$I$18,IF(A29=10,'Dropdown input'!$I$17,"")))))))))))</f>
        <v/>
      </c>
      <c r="L29" s="593" t="str">
        <f>IFERROR(IF(J29="N/A","übertragen aus Hochbauvorlage",I29*K29*J29),"")</f>
        <v/>
      </c>
      <c r="M29" s="436" t="str">
        <f>IF(E29=1,IF($B$3="wertschöpfungskettenorientiert",'Dropdown input'!$E$8,IF('Übersicht TP '!$B$3="sektorübergreifend",'Dropdown input'!$F$8,IF($B$3="auswählen",""))),IF(E29=2,IF($B$3="wertschöpfungskettenorientiert",'Dropdown input'!$E$9,IF('Übersicht TP '!$B$3="sektorübergreifend",'Dropdown input'!$F$9,IF($B$3="auswählen",""))),IF(E29=3,IF($B$3="wertschöpfungskettenorientiert",'Dropdown input'!$E$10,IF('Übersicht TP '!$B$3="sektorübergreifend",'Dropdown input'!$F$10,IF($B$3="auswählen",""))),IF(E29=4,IF($B$3="wertschöpfungskettenorientiert",'Dropdown input'!$E$11,IF('Übersicht TP '!$B$3="sektorübergreifend",'Dropdown input'!$F$11,IF($B$3="auswählen",""))),IF(E29=5,IF($B$3="wertschöpfungskettenorientiert",'Dropdown input'!$E$12,IF('Übersicht TP '!$B$3="sektorübergreifend",'Dropdown input'!$F$12,IF($B$3="auswählen",""))),IF(E29=6,IF($B$3="wertschöpfungskettenorientiert",'Dropdown input'!$E$13,IF('Übersicht TP '!$B$3="sektorübergreifend",'Dropdown input'!$F$13,IF($B$3="auswählen",""))),IF(E29=7,IF($B$3="wertschöpfungskettenorientiert",'Dropdown input'!$E$14,IF('Übersicht TP '!$B$3="sektorübergreifend",'Dropdown input'!$F$14,IF($B$3="auswählen",""))),IF(E29=8,IF($B$3="wertschöpfungskettenorientiert",'Dropdown input'!$E$15,IF('Übersicht TP '!$B$3="sektorübergreifend",'Dropdown input'!$F$15,IF($B$3="auswählen",""))),IF(E29=9,IF($B$3="wertschöpfungskettenorientiert",'Dropdown input'!$E$16,IF('Übersicht TP '!$B$3="sektorübergreifend",'Dropdown input'!$F$16,IF($B$3="auswählen",""))),IF(E29=10,IF($B$3="wertschöpfungskettenorientiert",'Dropdown input'!$E$17,IF('Übersicht TP '!$B$3="sektorübergreifend",'Dropdown input'!$E$17,IF($B$3="auswählen",""))),IF(E29=11,IF($B$3="wertschöpfungskettenorientiert",'Dropdown input'!$E$18,IF('Übersicht TP '!$B$3="sektorübergreifend",'Dropdown input'!$F$18,IF($B$3="auswählen",""))),IF(E29="",""))))))))))))</f>
        <v/>
      </c>
      <c r="N29" s="548" t="str">
        <f t="shared" si="9"/>
        <v/>
      </c>
      <c r="O29" s="688" t="str">
        <f>IFERROR(I29*(N29*K29),"")</f>
        <v/>
      </c>
      <c r="P29" s="562"/>
      <c r="Q29" s="540" t="str">
        <f t="shared" si="11"/>
        <v/>
      </c>
      <c r="R29" s="552" t="str">
        <f t="shared" si="0"/>
        <v/>
      </c>
      <c r="S29" s="538" t="str">
        <f t="shared" si="1"/>
        <v/>
      </c>
      <c r="T29" s="554">
        <f t="shared" si="12"/>
        <v>0</v>
      </c>
      <c r="U29" s="437" t="str">
        <f t="shared" si="2"/>
        <v/>
      </c>
      <c r="V29" s="556">
        <f>B29-T29</f>
        <v>0</v>
      </c>
      <c r="W29" s="444"/>
      <c r="X29" s="442"/>
      <c r="Y29" s="444"/>
      <c r="Z29" s="442"/>
      <c r="AA29" s="444"/>
      <c r="AB29" s="444"/>
      <c r="AC29" s="445" t="str">
        <f t="shared" si="3"/>
        <v>Finanzierung=Investitionssumme</v>
      </c>
    </row>
    <row r="30" spans="1:36" ht="45" customHeight="1" outlineLevel="1" x14ac:dyDescent="0.3">
      <c r="A30" s="438" t="s">
        <v>162</v>
      </c>
      <c r="B30" s="439"/>
      <c r="C30" s="440" t="s">
        <v>208</v>
      </c>
      <c r="D30" s="543" t="s">
        <v>208</v>
      </c>
      <c r="E30" s="544" t="str">
        <f t="shared" si="4"/>
        <v/>
      </c>
      <c r="F30" s="442"/>
      <c r="G30" s="443">
        <f t="shared" si="5"/>
        <v>0</v>
      </c>
      <c r="H30" s="435" t="str">
        <f>IF(E30=1,IF($B$3="wertschöpfungskettenorientiert",'Dropdown input'!$C$8,IF('Übersicht TP '!$B$3="sektorübergreifend",'Dropdown input'!$D$8,IF($B$3="auswählen",""))),IF(E30=2,IF($B$3="wertschöpfungskettenorientiert",'Dropdown input'!$C$9,IF('Übersicht TP '!$B$3="sektorübergreifend",'Dropdown input'!$D$9,IF($B$3="auswählen",""))),IF(E30=3,IF($B$3="wertschöpfungskettenorientiert",'Dropdown input'!$C$10,IF('Übersicht TP '!$B$3="sektorübergreifend",'Dropdown input'!$D$10,IF($B$3="auswählen",""))),IF(E30=4,IF($B$3="wertschöpfungskettenorientiert",'Dropdown input'!$C$11,IF('Übersicht TP '!$B$3="sektorübergreifend",'Dropdown input'!$D$11,IF($B$3="auswählen",""))),IF(E30=5,IF($B$3="wertschöpfungskettenorientiert",'Dropdown input'!$C$12,IF('Übersicht TP '!$B$3="sektorübergreifend",'Dropdown input'!$D$12,IF($B$3="auswählen",""))),IF(E30=6,IF($B$3="wertschöpfungskettenorientiert",'Dropdown input'!$C$13,IF('Übersicht TP '!$B$3="sektorübergreifend",'Dropdown input'!$D$13,IF($B$3="auswählen",""))),IF(E30=7,IF($B$3="wertschöpfungskettenorientiert",'Dropdown input'!$C$14,IF('Übersicht TP '!$B$3="sektorübergreifend",'Dropdown input'!$D$14,IF($B$3="auswählen",""))),IF(E30=8,IF($B$3="wertschöpfungskettenorientiert",'Dropdown input'!$C$15,IF('Übersicht TP '!$B$3="sektorübergreifend",'Dropdown input'!$D$15,IF($B$3="auswählen",""))),IF(E30=9,IF($B$3="wertschöpfungskettenorientiert",'Dropdown input'!$C$16,IF('Übersicht TP '!$B$3="sektorübergreifend",'Dropdown input'!$D$16,IF($B$3="auswählen",""))),IF(E30=10,IF($B$3="wertschöpfungskettenorientiert",'Dropdown input'!$C$17,IF('Übersicht TP '!$B$3="sektorübergreifend",'Dropdown input'!$D$17,IF($B$3="auswählen",""))),IF(E30=11,IF($B$3="wertschöpfungskettenorientiert",'Dropdown input'!$C$18,IF('Übersicht TP '!$B$3="sektorübergreifend",'Dropdown input'!$D$18,IF($B$3="auswählen",""))),IF(E30="",""))))))))))))</f>
        <v/>
      </c>
      <c r="I30" s="443" t="str">
        <f t="shared" si="6"/>
        <v/>
      </c>
      <c r="J30" s="547" t="str">
        <f t="shared" si="7"/>
        <v/>
      </c>
      <c r="K30" s="549" t="str">
        <f>IF(E30=1,'Dropdown input'!$I$8,IF(E30=2,'Dropdown input'!$I$9,IF(E30=3,'Dropdown input'!$I$10,IF(E30=4,'Dropdown input'!$I$11,IF(E30=5,'Dropdown input'!$I$12,IF(E30=6,'Dropdown input'!$I$13,IF(E30=7,'Dropdown input'!$I$14,IF(E30=8,'Dropdown input'!$I$15,IF(E30=9,"Bitte BLW kontaktieren",IF(E30=11,'Dropdown input'!$I$18,IF(A30=10,'Dropdown input'!$I$17,"")))))))))))</f>
        <v/>
      </c>
      <c r="L30" s="593" t="str">
        <f t="shared" si="8"/>
        <v/>
      </c>
      <c r="M30" s="436" t="str">
        <f>IF(E30=1,IF($B$3="wertschöpfungskettenorientiert",'Dropdown input'!$E$8,IF('Übersicht TP '!$B$3="sektorübergreifend",'Dropdown input'!$F$8,IF($B$3="auswählen",""))),IF(E30=2,IF($B$3="wertschöpfungskettenorientiert",'Dropdown input'!$E$9,IF('Übersicht TP '!$B$3="sektorübergreifend",'Dropdown input'!$F$9,IF($B$3="auswählen",""))),IF(E30=3,IF($B$3="wertschöpfungskettenorientiert",'Dropdown input'!$E$10,IF('Übersicht TP '!$B$3="sektorübergreifend",'Dropdown input'!$F$10,IF($B$3="auswählen",""))),IF(E30=4,IF($B$3="wertschöpfungskettenorientiert",'Dropdown input'!$E$11,IF('Übersicht TP '!$B$3="sektorübergreifend",'Dropdown input'!$F$11,IF($B$3="auswählen",""))),IF(E30=5,IF($B$3="wertschöpfungskettenorientiert",'Dropdown input'!$E$12,IF('Übersicht TP '!$B$3="sektorübergreifend",'Dropdown input'!$F$12,IF($B$3="auswählen",""))),IF(E30=6,IF($B$3="wertschöpfungskettenorientiert",'Dropdown input'!$E$13,IF('Übersicht TP '!$B$3="sektorübergreifend",'Dropdown input'!$F$13,IF($B$3="auswählen",""))),IF(E30=7,IF($B$3="wertschöpfungskettenorientiert",'Dropdown input'!$E$14,IF('Übersicht TP '!$B$3="sektorübergreifend",'Dropdown input'!$F$14,IF($B$3="auswählen",""))),IF(E30=8,IF($B$3="wertschöpfungskettenorientiert",'Dropdown input'!$E$15,IF('Übersicht TP '!$B$3="sektorübergreifend",'Dropdown input'!$F$15,IF($B$3="auswählen",""))),IF(E30=9,IF($B$3="wertschöpfungskettenorientiert",'Dropdown input'!$E$16,IF('Übersicht TP '!$B$3="sektorübergreifend",'Dropdown input'!$F$16,IF($B$3="auswählen",""))),IF(E30=10,IF($B$3="wertschöpfungskettenorientiert",'Dropdown input'!$E$17,IF('Übersicht TP '!$B$3="sektorübergreifend",'Dropdown input'!$E$17,IF($B$3="auswählen",""))),IF(E30=11,IF($B$3="wertschöpfungskettenorientiert",'Dropdown input'!$E$18,IF('Übersicht TP '!$B$3="sektorübergreifend",'Dropdown input'!$F$18,IF($B$3="auswählen",""))),IF(E30="",""))))))))))))</f>
        <v/>
      </c>
      <c r="N30" s="548" t="str">
        <f t="shared" si="9"/>
        <v/>
      </c>
      <c r="O30" s="688" t="str">
        <f t="shared" si="10"/>
        <v/>
      </c>
      <c r="P30" s="562"/>
      <c r="Q30" s="540" t="str">
        <f t="shared" si="11"/>
        <v/>
      </c>
      <c r="R30" s="552" t="str">
        <f t="shared" si="0"/>
        <v/>
      </c>
      <c r="S30" s="538" t="str">
        <f t="shared" si="1"/>
        <v/>
      </c>
      <c r="T30" s="554">
        <f t="shared" si="12"/>
        <v>0</v>
      </c>
      <c r="U30" s="437" t="str">
        <f t="shared" si="2"/>
        <v/>
      </c>
      <c r="V30" s="556">
        <f t="shared" si="13"/>
        <v>0</v>
      </c>
      <c r="W30" s="444"/>
      <c r="X30" s="442"/>
      <c r="Y30" s="444"/>
      <c r="Z30" s="442"/>
      <c r="AA30" s="444"/>
      <c r="AB30" s="444"/>
      <c r="AC30" s="445" t="str">
        <f t="shared" si="3"/>
        <v>Finanzierung=Investitionssumme</v>
      </c>
    </row>
    <row r="31" spans="1:36" ht="45" customHeight="1" outlineLevel="1" x14ac:dyDescent="0.3">
      <c r="A31" s="438" t="s">
        <v>170</v>
      </c>
      <c r="B31" s="439"/>
      <c r="C31" s="440" t="s">
        <v>208</v>
      </c>
      <c r="D31" s="543" t="s">
        <v>208</v>
      </c>
      <c r="E31" s="544" t="str">
        <f t="shared" si="4"/>
        <v/>
      </c>
      <c r="F31" s="442"/>
      <c r="G31" s="443">
        <f t="shared" si="5"/>
        <v>0</v>
      </c>
      <c r="H31" s="435" t="str">
        <f>IF(E31=1,IF($B$3="wertschöpfungskettenorientiert",'Dropdown input'!$C$8,IF('Übersicht TP '!$B$3="sektorübergreifend",'Dropdown input'!$D$8,IF($B$3="auswählen",""))),IF(E31=2,IF($B$3="wertschöpfungskettenorientiert",'Dropdown input'!$C$9,IF('Übersicht TP '!$B$3="sektorübergreifend",'Dropdown input'!$D$9,IF($B$3="auswählen",""))),IF(E31=3,IF($B$3="wertschöpfungskettenorientiert",'Dropdown input'!$C$10,IF('Übersicht TP '!$B$3="sektorübergreifend",'Dropdown input'!$D$10,IF($B$3="auswählen",""))),IF(E31=4,IF($B$3="wertschöpfungskettenorientiert",'Dropdown input'!$C$11,IF('Übersicht TP '!$B$3="sektorübergreifend",'Dropdown input'!$D$11,IF($B$3="auswählen",""))),IF(E31=5,IF($B$3="wertschöpfungskettenorientiert",'Dropdown input'!$C$12,IF('Übersicht TP '!$B$3="sektorübergreifend",'Dropdown input'!$D$12,IF($B$3="auswählen",""))),IF(E31=6,IF($B$3="wertschöpfungskettenorientiert",'Dropdown input'!$C$13,IF('Übersicht TP '!$B$3="sektorübergreifend",'Dropdown input'!$D$13,IF($B$3="auswählen",""))),IF(E31=7,IF($B$3="wertschöpfungskettenorientiert",'Dropdown input'!$C$14,IF('Übersicht TP '!$B$3="sektorübergreifend",'Dropdown input'!$D$14,IF($B$3="auswählen",""))),IF(E31=8,IF($B$3="wertschöpfungskettenorientiert",'Dropdown input'!$C$15,IF('Übersicht TP '!$B$3="sektorübergreifend",'Dropdown input'!$D$15,IF($B$3="auswählen",""))),IF(E31=9,IF($B$3="wertschöpfungskettenorientiert",'Dropdown input'!$C$16,IF('Übersicht TP '!$B$3="sektorübergreifend",'Dropdown input'!$D$16,IF($B$3="auswählen",""))),IF(E31=10,IF($B$3="wertschöpfungskettenorientiert",'Dropdown input'!$C$17,IF('Übersicht TP '!$B$3="sektorübergreifend",'Dropdown input'!$D$17,IF($B$3="auswählen",""))),IF(E31=11,IF($B$3="wertschöpfungskettenorientiert",'Dropdown input'!$C$18,IF('Übersicht TP '!$B$3="sektorübergreifend",'Dropdown input'!$D$18,IF($B$3="auswählen",""))),IF(E31="",""))))))))))))</f>
        <v/>
      </c>
      <c r="I31" s="443" t="str">
        <f t="shared" si="6"/>
        <v/>
      </c>
      <c r="J31" s="547" t="str">
        <f t="shared" si="7"/>
        <v/>
      </c>
      <c r="K31" s="549" t="str">
        <f>IF(E31=1,'Dropdown input'!$I$8,IF(E31=2,'Dropdown input'!$I$9,IF(E31=3,'Dropdown input'!$I$10,IF(E31=4,'Dropdown input'!$I$11,IF(E31=5,'Dropdown input'!$I$12,IF(E31=6,'Dropdown input'!$I$13,IF(E31=7,'Dropdown input'!$I$14,IF(E31=8,'Dropdown input'!$I$15,IF(E31=9,"Bitte BLW kontaktieren",IF(E31=11,'Dropdown input'!$I$18,IF(A31=10,'Dropdown input'!$I$17,"")))))))))))</f>
        <v/>
      </c>
      <c r="L31" s="593" t="str">
        <f t="shared" si="8"/>
        <v/>
      </c>
      <c r="M31" s="436" t="str">
        <f>IF(E31=1,IF($B$3="wertschöpfungskettenorientiert",'Dropdown input'!$E$8,IF('Übersicht TP '!$B$3="sektorübergreifend",'Dropdown input'!$F$8,IF($B$3="auswählen",""))),IF(E31=2,IF($B$3="wertschöpfungskettenorientiert",'Dropdown input'!$E$9,IF('Übersicht TP '!$B$3="sektorübergreifend",'Dropdown input'!$F$9,IF($B$3="auswählen",""))),IF(E31=3,IF($B$3="wertschöpfungskettenorientiert",'Dropdown input'!$E$10,IF('Übersicht TP '!$B$3="sektorübergreifend",'Dropdown input'!$F$10,IF($B$3="auswählen",""))),IF(E31=4,IF($B$3="wertschöpfungskettenorientiert",'Dropdown input'!$E$11,IF('Übersicht TP '!$B$3="sektorübergreifend",'Dropdown input'!$F$11,IF($B$3="auswählen",""))),IF(E31=5,IF($B$3="wertschöpfungskettenorientiert",'Dropdown input'!$E$12,IF('Übersicht TP '!$B$3="sektorübergreifend",'Dropdown input'!$F$12,IF($B$3="auswählen",""))),IF(E31=6,IF($B$3="wertschöpfungskettenorientiert",'Dropdown input'!$E$13,IF('Übersicht TP '!$B$3="sektorübergreifend",'Dropdown input'!$F$13,IF($B$3="auswählen",""))),IF(E31=7,IF($B$3="wertschöpfungskettenorientiert",'Dropdown input'!$E$14,IF('Übersicht TP '!$B$3="sektorübergreifend",'Dropdown input'!$F$14,IF($B$3="auswählen",""))),IF(E31=8,IF($B$3="wertschöpfungskettenorientiert",'Dropdown input'!$E$15,IF('Übersicht TP '!$B$3="sektorübergreifend",'Dropdown input'!$F$15,IF($B$3="auswählen",""))),IF(E31=9,IF($B$3="wertschöpfungskettenorientiert",'Dropdown input'!$E$16,IF('Übersicht TP '!$B$3="sektorübergreifend",'Dropdown input'!$F$16,IF($B$3="auswählen",""))),IF(E31=10,IF($B$3="wertschöpfungskettenorientiert",'Dropdown input'!$E$17,IF('Übersicht TP '!$B$3="sektorübergreifend",'Dropdown input'!$E$17,IF($B$3="auswählen",""))),IF(E31=11,IF($B$3="wertschöpfungskettenorientiert",'Dropdown input'!$E$18,IF('Übersicht TP '!$B$3="sektorübergreifend",'Dropdown input'!$F$18,IF($B$3="auswählen",""))),IF(E31="",""))))))))))))</f>
        <v/>
      </c>
      <c r="N31" s="548" t="str">
        <f t="shared" si="9"/>
        <v/>
      </c>
      <c r="O31" s="688" t="str">
        <f t="shared" si="10"/>
        <v/>
      </c>
      <c r="P31" s="562"/>
      <c r="Q31" s="540" t="str">
        <f t="shared" si="11"/>
        <v/>
      </c>
      <c r="R31" s="552" t="str">
        <f t="shared" si="0"/>
        <v/>
      </c>
      <c r="S31" s="538" t="str">
        <f t="shared" si="1"/>
        <v/>
      </c>
      <c r="T31" s="554">
        <f t="shared" si="12"/>
        <v>0</v>
      </c>
      <c r="U31" s="437" t="str">
        <f t="shared" si="2"/>
        <v/>
      </c>
      <c r="V31" s="556">
        <f t="shared" si="13"/>
        <v>0</v>
      </c>
      <c r="W31" s="444"/>
      <c r="X31" s="442"/>
      <c r="Y31" s="444"/>
      <c r="Z31" s="442"/>
      <c r="AA31" s="444"/>
      <c r="AB31" s="444"/>
      <c r="AC31" s="445" t="str">
        <f t="shared" si="3"/>
        <v>Finanzierung=Investitionssumme</v>
      </c>
    </row>
    <row r="32" spans="1:36" ht="45" customHeight="1" outlineLevel="1" x14ac:dyDescent="0.3">
      <c r="A32" s="438" t="s">
        <v>171</v>
      </c>
      <c r="B32" s="439"/>
      <c r="C32" s="440" t="s">
        <v>208</v>
      </c>
      <c r="D32" s="543" t="s">
        <v>208</v>
      </c>
      <c r="E32" s="544" t="str">
        <f t="shared" si="4"/>
        <v/>
      </c>
      <c r="F32" s="442"/>
      <c r="G32" s="443">
        <f t="shared" si="5"/>
        <v>0</v>
      </c>
      <c r="H32" s="435" t="str">
        <f>IF(E32=1,IF($B$3="wertschöpfungskettenorientiert",'Dropdown input'!$C$8,IF('Übersicht TP '!$B$3="sektorübergreifend",'Dropdown input'!$D$8,IF($B$3="auswählen",""))),IF(E32=2,IF($B$3="wertschöpfungskettenorientiert",'Dropdown input'!$C$9,IF('Übersicht TP '!$B$3="sektorübergreifend",'Dropdown input'!$D$9,IF($B$3="auswählen",""))),IF(E32=3,IF($B$3="wertschöpfungskettenorientiert",'Dropdown input'!$C$10,IF('Übersicht TP '!$B$3="sektorübergreifend",'Dropdown input'!$D$10,IF($B$3="auswählen",""))),IF(E32=4,IF($B$3="wertschöpfungskettenorientiert",'Dropdown input'!$C$11,IF('Übersicht TP '!$B$3="sektorübergreifend",'Dropdown input'!$D$11,IF($B$3="auswählen",""))),IF(E32=5,IF($B$3="wertschöpfungskettenorientiert",'Dropdown input'!$C$12,IF('Übersicht TP '!$B$3="sektorübergreifend",'Dropdown input'!$D$12,IF($B$3="auswählen",""))),IF(E32=6,IF($B$3="wertschöpfungskettenorientiert",'Dropdown input'!$C$13,IF('Übersicht TP '!$B$3="sektorübergreifend",'Dropdown input'!$D$13,IF($B$3="auswählen",""))),IF(E32=7,IF($B$3="wertschöpfungskettenorientiert",'Dropdown input'!$C$14,IF('Übersicht TP '!$B$3="sektorübergreifend",'Dropdown input'!$D$14,IF($B$3="auswählen",""))),IF(E32=8,IF($B$3="wertschöpfungskettenorientiert",'Dropdown input'!$C$15,IF('Übersicht TP '!$B$3="sektorübergreifend",'Dropdown input'!$D$15,IF($B$3="auswählen",""))),IF(E32=9,IF($B$3="wertschöpfungskettenorientiert",'Dropdown input'!$C$16,IF('Übersicht TP '!$B$3="sektorübergreifend",'Dropdown input'!$D$16,IF($B$3="auswählen",""))),IF(E32=10,IF($B$3="wertschöpfungskettenorientiert",'Dropdown input'!$C$17,IF('Übersicht TP '!$B$3="sektorübergreifend",'Dropdown input'!$D$17,IF($B$3="auswählen",""))),IF(E32=11,IF($B$3="wertschöpfungskettenorientiert",'Dropdown input'!$C$18,IF('Übersicht TP '!$B$3="sektorübergreifend",'Dropdown input'!$D$18,IF($B$3="auswählen",""))),IF(E32="",""))))))))))))</f>
        <v/>
      </c>
      <c r="I32" s="443" t="str">
        <f t="shared" si="6"/>
        <v/>
      </c>
      <c r="J32" s="547" t="str">
        <f t="shared" si="7"/>
        <v/>
      </c>
      <c r="K32" s="549" t="str">
        <f>IF(E32=1,'Dropdown input'!$I$8,IF(E32=2,'Dropdown input'!$I$9,IF(E32=3,'Dropdown input'!$I$10,IF(E32=4,'Dropdown input'!$I$11,IF(E32=5,'Dropdown input'!$I$12,IF(E32=6,'Dropdown input'!$I$13,IF(E32=7,'Dropdown input'!$I$14,IF(E32=8,'Dropdown input'!$I$15,IF(E32=9,"Bitte BLW kontaktieren",IF(E32=11,'Dropdown input'!$I$18,IF(A32=10,'Dropdown input'!$I$17,"")))))))))))</f>
        <v/>
      </c>
      <c r="L32" s="593" t="str">
        <f t="shared" si="8"/>
        <v/>
      </c>
      <c r="M32" s="436" t="str">
        <f>IF(E32=1,IF($B$3="wertschöpfungskettenorientiert",'Dropdown input'!$E$8,IF('Übersicht TP '!$B$3="sektorübergreifend",'Dropdown input'!$F$8,IF($B$3="auswählen",""))),IF(E32=2,IF($B$3="wertschöpfungskettenorientiert",'Dropdown input'!$E$9,IF('Übersicht TP '!$B$3="sektorübergreifend",'Dropdown input'!$F$9,IF($B$3="auswählen",""))),IF(E32=3,IF($B$3="wertschöpfungskettenorientiert",'Dropdown input'!$E$10,IF('Übersicht TP '!$B$3="sektorübergreifend",'Dropdown input'!$F$10,IF($B$3="auswählen",""))),IF(E32=4,IF($B$3="wertschöpfungskettenorientiert",'Dropdown input'!$E$11,IF('Übersicht TP '!$B$3="sektorübergreifend",'Dropdown input'!$F$11,IF($B$3="auswählen",""))),IF(E32=5,IF($B$3="wertschöpfungskettenorientiert",'Dropdown input'!$E$12,IF('Übersicht TP '!$B$3="sektorübergreifend",'Dropdown input'!$F$12,IF($B$3="auswählen",""))),IF(E32=6,IF($B$3="wertschöpfungskettenorientiert",'Dropdown input'!$E$13,IF('Übersicht TP '!$B$3="sektorübergreifend",'Dropdown input'!$F$13,IF($B$3="auswählen",""))),IF(E32=7,IF($B$3="wertschöpfungskettenorientiert",'Dropdown input'!$E$14,IF('Übersicht TP '!$B$3="sektorübergreifend",'Dropdown input'!$F$14,IF($B$3="auswählen",""))),IF(E32=8,IF($B$3="wertschöpfungskettenorientiert",'Dropdown input'!$E$15,IF('Übersicht TP '!$B$3="sektorübergreifend",'Dropdown input'!$F$15,IF($B$3="auswählen",""))),IF(E32=9,IF($B$3="wertschöpfungskettenorientiert",'Dropdown input'!$E$16,IF('Übersicht TP '!$B$3="sektorübergreifend",'Dropdown input'!$F$16,IF($B$3="auswählen",""))),IF(E32=10,IF($B$3="wertschöpfungskettenorientiert",'Dropdown input'!$E$17,IF('Übersicht TP '!$B$3="sektorübergreifend",'Dropdown input'!$E$17,IF($B$3="auswählen",""))),IF(E32=11,IF($B$3="wertschöpfungskettenorientiert",'Dropdown input'!$E$18,IF('Übersicht TP '!$B$3="sektorübergreifend",'Dropdown input'!$F$18,IF($B$3="auswählen",""))),IF(E32="",""))))))))))))</f>
        <v/>
      </c>
      <c r="N32" s="548" t="str">
        <f t="shared" si="9"/>
        <v/>
      </c>
      <c r="O32" s="688" t="str">
        <f t="shared" si="10"/>
        <v/>
      </c>
      <c r="P32" s="562"/>
      <c r="Q32" s="540" t="str">
        <f t="shared" si="11"/>
        <v/>
      </c>
      <c r="R32" s="552" t="str">
        <f t="shared" si="0"/>
        <v/>
      </c>
      <c r="S32" s="538" t="str">
        <f t="shared" si="1"/>
        <v/>
      </c>
      <c r="T32" s="554">
        <f t="shared" si="12"/>
        <v>0</v>
      </c>
      <c r="U32" s="437" t="str">
        <f t="shared" si="2"/>
        <v/>
      </c>
      <c r="V32" s="556">
        <f t="shared" si="13"/>
        <v>0</v>
      </c>
      <c r="W32" s="444"/>
      <c r="X32" s="442"/>
      <c r="Y32" s="444"/>
      <c r="Z32" s="442"/>
      <c r="AA32" s="444"/>
      <c r="AB32" s="444"/>
      <c r="AC32" s="445" t="str">
        <f t="shared" si="3"/>
        <v>Finanzierung=Investitionssumme</v>
      </c>
    </row>
    <row r="33" spans="1:102" ht="45" customHeight="1" outlineLevel="1" x14ac:dyDescent="0.3">
      <c r="A33" s="446" t="s">
        <v>172</v>
      </c>
      <c r="B33" s="447"/>
      <c r="C33" s="448" t="s">
        <v>208</v>
      </c>
      <c r="D33" s="543" t="s">
        <v>208</v>
      </c>
      <c r="E33" s="544" t="str">
        <f t="shared" si="4"/>
        <v/>
      </c>
      <c r="F33" s="450"/>
      <c r="G33" s="451">
        <f t="shared" si="5"/>
        <v>0</v>
      </c>
      <c r="H33" s="435" t="str">
        <f>IF(E33=1,IF($B$3="wertschöpfungskettenorientiert",'Dropdown input'!$C$8,IF('Übersicht TP '!$B$3="sektorübergreifend",'Dropdown input'!$D$8,IF($B$3="auswählen",""))),IF(E33=2,IF($B$3="wertschöpfungskettenorientiert",'Dropdown input'!$C$9,IF('Übersicht TP '!$B$3="sektorübergreifend",'Dropdown input'!$D$9,IF($B$3="auswählen",""))),IF(E33=3,IF($B$3="wertschöpfungskettenorientiert",'Dropdown input'!$C$10,IF('Übersicht TP '!$B$3="sektorübergreifend",'Dropdown input'!$D$10,IF($B$3="auswählen",""))),IF(E33=4,IF($B$3="wertschöpfungskettenorientiert",'Dropdown input'!$C$11,IF('Übersicht TP '!$B$3="sektorübergreifend",'Dropdown input'!$D$11,IF($B$3="auswählen",""))),IF(E33=5,IF($B$3="wertschöpfungskettenorientiert",'Dropdown input'!$C$12,IF('Übersicht TP '!$B$3="sektorübergreifend",'Dropdown input'!$D$12,IF($B$3="auswählen",""))),IF(E33=6,IF($B$3="wertschöpfungskettenorientiert",'Dropdown input'!$C$13,IF('Übersicht TP '!$B$3="sektorübergreifend",'Dropdown input'!$D$13,IF($B$3="auswählen",""))),IF(E33=7,IF($B$3="wertschöpfungskettenorientiert",'Dropdown input'!$C$14,IF('Übersicht TP '!$B$3="sektorübergreifend",'Dropdown input'!$D$14,IF($B$3="auswählen",""))),IF(E33=8,IF($B$3="wertschöpfungskettenorientiert",'Dropdown input'!$C$15,IF('Übersicht TP '!$B$3="sektorübergreifend",'Dropdown input'!$D$15,IF($B$3="auswählen",""))),IF(E33=9,IF($B$3="wertschöpfungskettenorientiert",'Dropdown input'!$C$16,IF('Übersicht TP '!$B$3="sektorübergreifend",'Dropdown input'!$D$16,IF($B$3="auswählen",""))),IF(E33=10,IF($B$3="wertschöpfungskettenorientiert",'Dropdown input'!$C$17,IF('Übersicht TP '!$B$3="sektorübergreifend",'Dropdown input'!$D$17,IF($B$3="auswählen",""))),IF(E33=11,IF($B$3="wertschöpfungskettenorientiert",'Dropdown input'!$C$18,IF('Übersicht TP '!$B$3="sektorübergreifend",'Dropdown input'!$D$18,IF($B$3="auswählen",""))),IF(E33="",""))))))))))))</f>
        <v/>
      </c>
      <c r="I33" s="451" t="str">
        <f t="shared" si="6"/>
        <v/>
      </c>
      <c r="J33" s="547" t="str">
        <f t="shared" si="7"/>
        <v/>
      </c>
      <c r="K33" s="549" t="str">
        <f>IF(E33=1,'Dropdown input'!$I$8,IF(E33=2,'Dropdown input'!$I$9,IF(E33=3,'Dropdown input'!$I$10,IF(E33=4,'Dropdown input'!$I$11,IF(E33=5,'Dropdown input'!$I$12,IF(E33=6,'Dropdown input'!$I$13,IF(E33=7,'Dropdown input'!$I$14,IF(E33=8,'Dropdown input'!$I$15,IF(E33=9,"Bitte BLW kontaktieren",IF(E33=11,'Dropdown input'!$I$18,IF(A33=10,'Dropdown input'!$I$17,"")))))))))))</f>
        <v/>
      </c>
      <c r="L33" s="593" t="str">
        <f t="shared" si="8"/>
        <v/>
      </c>
      <c r="M33" s="436" t="str">
        <f>IF(E33=1,IF($B$3="wertschöpfungskettenorientiert",'Dropdown input'!$E$8,IF('Übersicht TP '!$B$3="sektorübergreifend",'Dropdown input'!$F$8,IF($B$3="auswählen",""))),IF(E33=2,IF($B$3="wertschöpfungskettenorientiert",'Dropdown input'!$E$9,IF('Übersicht TP '!$B$3="sektorübergreifend",'Dropdown input'!$F$9,IF($B$3="auswählen",""))),IF(E33=3,IF($B$3="wertschöpfungskettenorientiert",'Dropdown input'!$E$10,IF('Übersicht TP '!$B$3="sektorübergreifend",'Dropdown input'!$F$10,IF($B$3="auswählen",""))),IF(E33=4,IF($B$3="wertschöpfungskettenorientiert",'Dropdown input'!$E$11,IF('Übersicht TP '!$B$3="sektorübergreifend",'Dropdown input'!$F$11,IF($B$3="auswählen",""))),IF(E33=5,IF($B$3="wertschöpfungskettenorientiert",'Dropdown input'!$E$12,IF('Übersicht TP '!$B$3="sektorübergreifend",'Dropdown input'!$F$12,IF($B$3="auswählen",""))),IF(E33=6,IF($B$3="wertschöpfungskettenorientiert",'Dropdown input'!$E$13,IF('Übersicht TP '!$B$3="sektorübergreifend",'Dropdown input'!$F$13,IF($B$3="auswählen",""))),IF(E33=7,IF($B$3="wertschöpfungskettenorientiert",'Dropdown input'!$E$14,IF('Übersicht TP '!$B$3="sektorübergreifend",'Dropdown input'!$F$14,IF($B$3="auswählen",""))),IF(E33=8,IF($B$3="wertschöpfungskettenorientiert",'Dropdown input'!$E$15,IF('Übersicht TP '!$B$3="sektorübergreifend",'Dropdown input'!$F$15,IF($B$3="auswählen",""))),IF(E33=9,IF($B$3="wertschöpfungskettenorientiert",'Dropdown input'!$E$16,IF('Übersicht TP '!$B$3="sektorübergreifend",'Dropdown input'!$F$16,IF($B$3="auswählen",""))),IF(E33=10,IF($B$3="wertschöpfungskettenorientiert",'Dropdown input'!$E$17,IF('Übersicht TP '!$B$3="sektorübergreifend",'Dropdown input'!$E$17,IF($B$3="auswählen",""))),IF(E33=11,IF($B$3="wertschöpfungskettenorientiert",'Dropdown input'!$E$18,IF('Übersicht TP '!$B$3="sektorübergreifend",'Dropdown input'!$F$18,IF($B$3="auswählen",""))),IF(E33="",""))))))))))))</f>
        <v/>
      </c>
      <c r="N33" s="548" t="str">
        <f t="shared" si="9"/>
        <v/>
      </c>
      <c r="O33" s="688" t="str">
        <f t="shared" si="10"/>
        <v/>
      </c>
      <c r="P33" s="562"/>
      <c r="Q33" s="540" t="str">
        <f t="shared" si="11"/>
        <v/>
      </c>
      <c r="R33" s="552" t="str">
        <f t="shared" si="0"/>
        <v/>
      </c>
      <c r="S33" s="539" t="str">
        <f t="shared" si="1"/>
        <v/>
      </c>
      <c r="T33" s="554">
        <f t="shared" si="12"/>
        <v>0</v>
      </c>
      <c r="U33" s="452" t="str">
        <f t="shared" si="2"/>
        <v/>
      </c>
      <c r="V33" s="556">
        <f t="shared" si="13"/>
        <v>0</v>
      </c>
      <c r="W33" s="453"/>
      <c r="X33" s="450"/>
      <c r="Y33" s="453"/>
      <c r="Z33" s="450"/>
      <c r="AA33" s="453"/>
      <c r="AB33" s="453"/>
      <c r="AC33" s="454" t="str">
        <f t="shared" si="3"/>
        <v>Finanzierung=Investitionssumme</v>
      </c>
    </row>
    <row r="34" spans="1:102" s="462" customFormat="1" ht="45" customHeight="1" outlineLevel="1" x14ac:dyDescent="0.3">
      <c r="A34" s="455" t="s">
        <v>232</v>
      </c>
      <c r="B34" s="456"/>
      <c r="C34" s="457" t="s">
        <v>208</v>
      </c>
      <c r="D34" s="715" t="s">
        <v>208</v>
      </c>
      <c r="E34" s="647" t="str">
        <f t="shared" si="4"/>
        <v/>
      </c>
      <c r="F34" s="458"/>
      <c r="G34" s="459">
        <f t="shared" ref="G34" si="14">B34-F34</f>
        <v>0</v>
      </c>
      <c r="H34" s="677" t="str">
        <f>IF(E34=1,IF($B$3="wertschöpfungskettenorientiert",'Dropdown input'!$C$8,IF('Übersicht TP '!$B$3="sektorübergreifend",'Dropdown input'!$D$8,IF($B$3="auswählen",""))),IF(E34=2,IF($B$3="wertschöpfungskettenorientiert",'Dropdown input'!$C$9,IF('Übersicht TP '!$B$3="sektorübergreifend",'Dropdown input'!$D$9,IF($B$3="auswählen",""))),IF(E34=3,IF($B$3="wertschöpfungskettenorientiert",'Dropdown input'!$C$10,IF('Übersicht TP '!$B$3="sektorübergreifend",'Dropdown input'!$D$10,IF($B$3="auswählen",""))),IF(E34=4,IF($B$3="wertschöpfungskettenorientiert",'Dropdown input'!$C$11,IF('Übersicht TP '!$B$3="sektorübergreifend",'Dropdown input'!$D$11,IF($B$3="auswählen",""))),IF(E34=5,IF($B$3="wertschöpfungskettenorientiert",'Dropdown input'!$C$12,IF('Übersicht TP '!$B$3="sektorübergreifend",'Dropdown input'!$D$12,IF($B$3="auswählen",""))),IF(E34=6,IF($B$3="wertschöpfungskettenorientiert",'Dropdown input'!$C$13,IF('Übersicht TP '!$B$3="sektorübergreifend",'Dropdown input'!$D$13,IF($B$3="auswählen",""))),IF(E34=7,IF($B$3="wertschöpfungskettenorientiert",'Dropdown input'!$C$14,IF('Übersicht TP '!$B$3="sektorübergreifend",'Dropdown input'!$D$14,IF($B$3="auswählen",""))),IF(E34=8,IF($B$3="wertschöpfungskettenorientiert",'Dropdown input'!$C$15,IF('Übersicht TP '!$B$3="sektorübergreifend",'Dropdown input'!$D$15,IF($B$3="auswählen",""))),IF(E34=9,IF($B$3="wertschöpfungskettenorientiert",'Dropdown input'!$C$16,IF('Übersicht TP '!$B$3="sektorübergreifend",'Dropdown input'!$D$16,IF($B$3="auswählen",""))),IF(E34=10,IF($B$3="wertschöpfungskettenorientiert",'Dropdown input'!$C$17,IF('Übersicht TP '!$B$3="sektorübergreifend",'Dropdown input'!$D$17,IF($B$3="auswählen",""))),IF(E34=11,IF($B$3="wertschöpfungskettenorientiert",'Dropdown input'!$C$18,IF('Übersicht TP '!$B$3="sektorübergreifend",'Dropdown input'!$D$18,IF($B$3="auswählen",""))),IF(E34="",""))))))))))))</f>
        <v/>
      </c>
      <c r="I34" s="459" t="str">
        <f t="shared" ref="I34" si="15">IFERROR(G34-G34*H34,"")</f>
        <v/>
      </c>
      <c r="J34" s="547" t="str">
        <f t="shared" si="7"/>
        <v/>
      </c>
      <c r="K34" s="583" t="str">
        <f>IF(E34=1,'Dropdown input'!$I$8,IF(E34=2,'Dropdown input'!$I$9,IF(E34=3,'Dropdown input'!$I$10,IF(E34=4,'Dropdown input'!$I$11,IF(E34=5,'Dropdown input'!$I$12,IF(E34=6,'Dropdown input'!$I$13,IF(E34=7,'Dropdown input'!$I$14,IF(E34=8,'Dropdown input'!$I$15,IF(E34=9,"Bitte BLW kontaktieren",IF(E34=11,'Dropdown input'!$I$18,IF(A34=10,'Dropdown input'!$I$17,"")))))))))))</f>
        <v/>
      </c>
      <c r="L34" s="594" t="str">
        <f t="shared" si="8"/>
        <v/>
      </c>
      <c r="M34" s="678" t="str">
        <f>IF(E34=1,IF($B$3="wertschöpfungskettenorientiert",'Dropdown input'!$E$8,IF('Übersicht TP '!$B$3="sektorübergreifend",'Dropdown input'!$F$8,IF($B$3="auswählen",""))),IF(E34=2,IF($B$3="wertschöpfungskettenorientiert",'Dropdown input'!$E$9,IF('Übersicht TP '!$B$3="sektorübergreifend",'Dropdown input'!$F$9,IF($B$3="auswählen",""))),IF(E34=3,IF($B$3="wertschöpfungskettenorientiert",'Dropdown input'!$E$10,IF('Übersicht TP '!$B$3="sektorübergreifend",'Dropdown input'!$F$10,IF($B$3="auswählen",""))),IF(E34=4,IF($B$3="wertschöpfungskettenorientiert",'Dropdown input'!$E$11,IF('Übersicht TP '!$B$3="sektorübergreifend",'Dropdown input'!$F$11,IF($B$3="auswählen",""))),IF(E34=5,IF($B$3="wertschöpfungskettenorientiert",'Dropdown input'!$E$12,IF('Übersicht TP '!$B$3="sektorübergreifend",'Dropdown input'!$F$12,IF($B$3="auswählen",""))),IF(E34=6,IF($B$3="wertschöpfungskettenorientiert",'Dropdown input'!$E$13,IF('Übersicht TP '!$B$3="sektorübergreifend",'Dropdown input'!$F$13,IF($B$3="auswählen",""))),IF(E34=7,IF($B$3="wertschöpfungskettenorientiert",'Dropdown input'!$E$14,IF('Übersicht TP '!$B$3="sektorübergreifend",'Dropdown input'!$F$14,IF($B$3="auswählen",""))),IF(E34=8,IF($B$3="wertschöpfungskettenorientiert",'Dropdown input'!$E$15,IF('Übersicht TP '!$B$3="sektorübergreifend",'Dropdown input'!$F$15,IF($B$3="auswählen",""))),IF(E34=9,IF($B$3="wertschöpfungskettenorientiert",'Dropdown input'!$E$16,IF('Übersicht TP '!$B$3="sektorübergreifend",'Dropdown input'!$F$16,IF($B$3="auswählen",""))),IF(E34=10,IF($B$3="wertschöpfungskettenorientiert",'Dropdown input'!$E$17,IF('Übersicht TP '!$B$3="sektorübergreifend",'Dropdown input'!$E$17,IF($B$3="auswählen",""))),IF(E34=11,IF($B$3="wertschöpfungskettenorientiert",'Dropdown input'!$E$18,IF('Übersicht TP '!$B$3="sektorübergreifend",'Dropdown input'!$F$18,IF($B$3="auswählen",""))),IF(E34="",""))))))))))))</f>
        <v/>
      </c>
      <c r="N34" s="724" t="str">
        <f t="shared" si="9"/>
        <v/>
      </c>
      <c r="O34" s="725" t="str">
        <f t="shared" si="10"/>
        <v/>
      </c>
      <c r="P34" s="607"/>
      <c r="Q34" s="726" t="str">
        <f t="shared" si="11"/>
        <v/>
      </c>
      <c r="R34" s="727" t="str">
        <f t="shared" si="0"/>
        <v/>
      </c>
      <c r="S34" s="539" t="str">
        <f t="shared" si="1"/>
        <v/>
      </c>
      <c r="T34" s="610">
        <f t="shared" si="12"/>
        <v>0</v>
      </c>
      <c r="U34" s="728" t="str">
        <f t="shared" si="2"/>
        <v/>
      </c>
      <c r="V34" s="729">
        <f t="shared" si="13"/>
        <v>0</v>
      </c>
      <c r="W34" s="460"/>
      <c r="X34" s="458"/>
      <c r="Y34" s="460"/>
      <c r="Z34" s="458"/>
      <c r="AA34" s="460"/>
      <c r="AB34" s="460"/>
      <c r="AC34" s="461" t="str">
        <f t="shared" si="3"/>
        <v>Finanzierung=Investitionssumme</v>
      </c>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row>
    <row r="35" spans="1:102" ht="31.5" thickBot="1" x14ac:dyDescent="0.35">
      <c r="A35" s="463" t="s">
        <v>19</v>
      </c>
      <c r="B35" s="463"/>
      <c r="C35" s="463"/>
      <c r="D35" s="463"/>
      <c r="E35" s="463"/>
      <c r="F35" s="463"/>
      <c r="G35" s="464"/>
      <c r="H35" s="463"/>
      <c r="I35" s="463"/>
      <c r="J35" s="463"/>
      <c r="K35" s="463"/>
      <c r="L35" s="464"/>
      <c r="M35" s="463"/>
      <c r="N35" s="730"/>
      <c r="O35" s="731">
        <f>SUM(O26:O34)</f>
        <v>0</v>
      </c>
      <c r="P35" s="732">
        <f>SUM(P26:P34)</f>
        <v>0</v>
      </c>
      <c r="Q35" s="730"/>
      <c r="R35" s="733"/>
      <c r="S35" s="734">
        <f>SUM(S26:S34)</f>
        <v>0</v>
      </c>
      <c r="T35" s="732">
        <f>SUM(T26:T34)</f>
        <v>0</v>
      </c>
      <c r="U35" s="735" t="str">
        <f t="shared" si="2"/>
        <v/>
      </c>
      <c r="V35" s="736">
        <f>SUM(V26:V34)</f>
        <v>0</v>
      </c>
      <c r="W35" s="464"/>
      <c r="X35" s="464"/>
      <c r="Y35" s="464"/>
      <c r="Z35" s="464"/>
      <c r="AA35" s="464"/>
      <c r="AB35" s="464"/>
      <c r="AC35" s="465" t="str">
        <f>IFERROR(IF(V35=(B35-T35),"Finanzierung=Investitionssumme","!"),"N/A")</f>
        <v>Finanzierung=Investitionssumme</v>
      </c>
    </row>
    <row r="36" spans="1:102" s="9" customFormat="1" ht="16" thickTop="1" x14ac:dyDescent="0.3">
      <c r="A36" s="466"/>
      <c r="B36" s="467"/>
      <c r="C36" s="468"/>
      <c r="D36" s="468"/>
      <c r="E36" s="468"/>
      <c r="F36" s="468"/>
      <c r="G36" s="172"/>
      <c r="H36" s="172"/>
      <c r="I36" s="468"/>
      <c r="J36" s="172"/>
      <c r="AH36" s="8"/>
      <c r="AI36" s="8"/>
      <c r="AJ36" s="8"/>
    </row>
    <row r="37" spans="1:102" s="1" customFormat="1" ht="24.65" customHeight="1" x14ac:dyDescent="0.3">
      <c r="A37" s="481" t="s">
        <v>401</v>
      </c>
      <c r="B37" s="6"/>
      <c r="C37" s="6"/>
      <c r="D37" s="6"/>
      <c r="E37" s="6"/>
      <c r="F37" s="6"/>
      <c r="G37" s="6"/>
      <c r="H37" s="6"/>
      <c r="I37" s="6"/>
      <c r="J37" s="7"/>
      <c r="K37" s="6"/>
      <c r="L37" s="6"/>
      <c r="M37" s="6"/>
      <c r="N37" s="6"/>
      <c r="O37" s="6"/>
      <c r="P37" s="6"/>
      <c r="Q37" s="6"/>
      <c r="R37" s="6"/>
      <c r="S37" s="6"/>
      <c r="T37" s="6"/>
      <c r="U37" s="6"/>
      <c r="V37" s="6"/>
      <c r="W37" s="6"/>
      <c r="X37" s="6"/>
      <c r="Y37" s="6"/>
      <c r="Z37" s="6"/>
      <c r="AA37" s="6"/>
      <c r="AB37" s="6"/>
      <c r="AC37" s="6"/>
      <c r="AD37" s="6"/>
      <c r="AE37" s="6"/>
      <c r="AF37" s="6"/>
      <c r="AG37" s="6"/>
      <c r="AH37" s="8"/>
      <c r="AI37" s="8"/>
    </row>
    <row r="38" spans="1:102" s="398" customFormat="1" ht="78" customHeight="1" x14ac:dyDescent="0.3">
      <c r="A38" s="761" t="s">
        <v>414</v>
      </c>
      <c r="B38" s="762"/>
      <c r="C38" s="762"/>
      <c r="D38" s="762"/>
      <c r="E38" s="762"/>
      <c r="F38" s="762"/>
      <c r="G38" s="762"/>
      <c r="H38" s="762"/>
      <c r="I38" s="762"/>
      <c r="J38" s="762"/>
      <c r="K38" s="762"/>
      <c r="L38" s="762"/>
      <c r="M38" s="762"/>
      <c r="N38" s="762"/>
      <c r="O38" s="762"/>
      <c r="P38" s="762"/>
      <c r="Q38" s="762"/>
      <c r="R38" s="762"/>
      <c r="S38" s="762"/>
      <c r="T38" s="762"/>
      <c r="U38" s="762"/>
      <c r="V38" s="762"/>
      <c r="W38" s="762"/>
      <c r="X38" s="762"/>
      <c r="Y38" s="416"/>
      <c r="Z38" s="416"/>
      <c r="AA38" s="416"/>
      <c r="AB38" s="416"/>
      <c r="AC38" s="416"/>
      <c r="AD38" s="415"/>
      <c r="AE38" s="415"/>
      <c r="AF38" s="415"/>
      <c r="AG38" s="417"/>
    </row>
    <row r="39" spans="1:102" x14ac:dyDescent="0.3">
      <c r="Y39" s="8"/>
      <c r="AC39" s="406"/>
    </row>
    <row r="40" spans="1:102" x14ac:dyDescent="0.3">
      <c r="A40" s="629" t="s">
        <v>196</v>
      </c>
      <c r="B40" s="630">
        <v>500000</v>
      </c>
      <c r="Y40" s="8"/>
      <c r="AC40" s="406"/>
    </row>
    <row r="41" spans="1:102" x14ac:dyDescent="0.3">
      <c r="A41" s="422" t="s">
        <v>257</v>
      </c>
      <c r="B41" s="630">
        <v>10000</v>
      </c>
      <c r="Y41" s="8"/>
      <c r="AC41" s="406"/>
    </row>
    <row r="42" spans="1:102" x14ac:dyDescent="0.3">
      <c r="Y42" s="8"/>
      <c r="AC42" s="406"/>
    </row>
    <row r="43" spans="1:102" s="406" customFormat="1" ht="105.75" customHeight="1" x14ac:dyDescent="0.3">
      <c r="A43" s="622" t="s">
        <v>350</v>
      </c>
      <c r="B43" s="429" t="s">
        <v>346</v>
      </c>
      <c r="C43" s="423" t="s">
        <v>253</v>
      </c>
      <c r="D43" s="424" t="s">
        <v>210</v>
      </c>
      <c r="E43" s="423" t="s">
        <v>254</v>
      </c>
      <c r="F43" s="599" t="s">
        <v>291</v>
      </c>
      <c r="G43" s="429" t="s">
        <v>211</v>
      </c>
      <c r="H43" s="431" t="s">
        <v>292</v>
      </c>
      <c r="I43" s="430" t="s">
        <v>255</v>
      </c>
      <c r="J43" s="536" t="s">
        <v>352</v>
      </c>
      <c r="K43" s="600" t="s">
        <v>306</v>
      </c>
      <c r="L43" s="430" t="s">
        <v>248</v>
      </c>
      <c r="M43" s="430" t="s">
        <v>247</v>
      </c>
      <c r="N43" s="537" t="s">
        <v>351</v>
      </c>
      <c r="O43" s="601" t="s">
        <v>212</v>
      </c>
      <c r="P43" s="422" t="s">
        <v>213</v>
      </c>
      <c r="Q43" s="723" t="s">
        <v>258</v>
      </c>
      <c r="AD43" s="343" t="s">
        <v>349</v>
      </c>
      <c r="AE43" s="597" t="s">
        <v>348</v>
      </c>
      <c r="AF43" s="598" t="s">
        <v>214</v>
      </c>
      <c r="AG43" s="431" t="s">
        <v>347</v>
      </c>
    </row>
    <row r="44" spans="1:102" ht="48.65" customHeight="1" x14ac:dyDescent="0.3">
      <c r="A44" s="623" t="s">
        <v>413</v>
      </c>
      <c r="B44" s="710">
        <v>0.3</v>
      </c>
      <c r="C44" s="546">
        <f>IF($B$44&lt;0.8,($B$40-B41)*B44,$B$40-B41)</f>
        <v>147000</v>
      </c>
      <c r="D44" s="435">
        <f>IF($B$44&lt;0.2,0.33,0)</f>
        <v>0</v>
      </c>
      <c r="E44" s="546">
        <f>IF(D44=0,C44,(1-D44)*C44)</f>
        <v>147000</v>
      </c>
      <c r="F44" s="547">
        <f>IF(AF44=1,(IF(AD44="Tal",34%,IF(AD44="HZ / BZ I",37%,IF(AD44="BZ II - IV, Sömmerungsgebiet",40%,)))),IF(AF44=2,(IF(AD44="Tal",34%,IF(AD44="HZ / BZ I",37%,IF(AD44="BZ II - IV, Sömmerungsgebiet",40%,)))),IF(AF44=3,IF(AG44="Hochbau",22%,IF(AD44="Tal",34%,IF(AD44="HZ / BZ I",37%,IF(AD44="BZ II - IV, Sömmerungsgebiet",40%,)))),IF(AF44=4,37%,IF(AF44=5,34%,IF(AF44=6,(IF(AD44="Tal",34%,IF(AD44="HZ / BZ I",37%,IF(AD44="BZ II - IV, Sömmerungsgebiet",40%,)))),IF(AF44=7,"N/A",IF(AF44=8,"N/A",IF(AF44=9,"bitte BLW kontaktieren",IF(AF44=10,"N/A",IF(AF44="","")))))))))))</f>
        <v>0.22</v>
      </c>
      <c r="G44" s="436" t="str">
        <f>IF(AF44=1,IF($B$3="wertschöpfungskettenorientiert",'Dropdown input'!$E$8,IF($B$3="sektorübergreifend",'Dropdown input'!$F$8,IF($B$3="auswählen",""))),IF(AF44=2,IF($B$3="wertschöpfungskettenorientiert",'Dropdown input'!$E$9,IF($B$3="sektorübergreifend",'Dropdown input'!$F$9,IF($B$3="auswählen",""))),IF(AF44=4,IF($B$3="wertschöpfungskettenorientiert",'Dropdown input'!$E$11,IF($B$3="sektorübergreifend",'Dropdown input'!$F$11,IF($B$3="auswählen",""))),IF(AF44=5,IF($B$3="wertschöpfungskettenorientiert",'Dropdown input'!$E$12,IF($B$3="sektorübergreifend",'Dropdown input'!$F$12,IF($B$3="auswählen",""))),IF(AF44=6,IF($B$3="wertschöpfungskettenorientiert",'Dropdown input'!$E$13,IF($B$3="sektorübergreifend",'Dropdown input'!$F$13,IF($B$3="auswählen",""))),IF(AF44=7,IF($B$3="wertschöpfungskettenorientiert",'Dropdown input'!$E$14,IF($B$3="sektorübergreifend",'Dropdown input'!$F$14,IF($B$3="auswählen",""))),IF(AF44=8,IF($B$3="wertschöpfungskettenorientiert",'Dropdown input'!$E$15,IF($B$3="sektorübergreifend",'Dropdown input'!$F$15,IF($B$3="auswählen",""))),IF(AF44=9,IF($B$3="wertschöpfungskettenorientiert",'Dropdown input'!$E$16,IF($B$3="sektorübergreifend",'Dropdown input'!$F$16,IF($B$3="auswählen",""))),IF(AF44=10,IF($B$3="wertschöpfungskettenorientiert",'Dropdown input'!$E$17,IF($B$3="sektorübergreifend",'Dropdown input'!$E$17,IF($B$3="auswählen",""))),IF(AF44="","",IF(AF44=3,IF(AG44="Hochbau",IF($B$3="wertschöpfungskettenorientiert",'Dropdown input'!$E$10,IF($B$3="sektorübergreifend",'Dropdown input'!$F$10,IF($B$3="auswählen","bitte PRE-Typ auswählen"))),IF(AF44=3,IF(AG44="PRE",IF($B$3="wertschöpfungskettenorientiert",'Dropdown input'!$E$11,IF($B$3="sektorübergreifend",'Dropdown input'!$F$11,IF($B$3="auswählen","bitte PRE-Typ auswählen")))))))))))))))))</f>
        <v>bitte PRE-Typ auswählen</v>
      </c>
      <c r="H44" s="548" t="str">
        <f>IFERROR(F44+F44*G44,"")</f>
        <v/>
      </c>
      <c r="I44" s="549">
        <f>IF(AF44=1,'Dropdown input'!$I$8,IF(AF44=2,'Dropdown input'!$I$9,IF(AG44="Hochbau",'Dropdown input'!$I$10,IF(AG44="PRE",'Dropdown input'!$I$11,IF(AF44=4,'Dropdown input'!$I$11,IF(AF44=5,'Dropdown input'!$I$12,IF(AF44=6,'Dropdown input'!$I$13,IF(AF44=7,'Dropdown input'!$I$14,IF(AF44=8,'Dropdown input'!$I$15,IF(AF44=9,"Bitte BLW kontaktieren",IF(#REF!=10,'Dropdown input'!$I$17,"")))))))))))</f>
        <v>0.9</v>
      </c>
      <c r="J44" s="550" t="str">
        <f>IFERROR(E44*H44*I44,"bitte PRE-Typ auswählen")</f>
        <v>bitte PRE-Typ auswählen</v>
      </c>
      <c r="K44" s="561"/>
      <c r="L44" s="551" t="str">
        <f>IFERROR((K44+J44)/E44,"")</f>
        <v/>
      </c>
      <c r="M44" s="552" t="str">
        <f>IFERROR(IF(L44&lt;I44*H44,L44/I44,H44),"")</f>
        <v/>
      </c>
      <c r="N44" s="553" t="str">
        <f>IFERROR(M44*E44,"")</f>
        <v/>
      </c>
      <c r="O44" s="554" t="str">
        <f>IFERROR(J44+N44+K44,"")</f>
        <v/>
      </c>
      <c r="P44" s="437" t="str">
        <f>IFERROR(O44/$B$40,"")</f>
        <v/>
      </c>
      <c r="Q44" s="719"/>
      <c r="Y44" s="8"/>
      <c r="AD44" s="434" t="s">
        <v>338</v>
      </c>
      <c r="AE44" s="543" t="s">
        <v>315</v>
      </c>
      <c r="AF44" s="596">
        <f>IF(AE44="Gemeinschaftliche Investitionen im Interesse des Gesamtprojekts",1,IF(AE44="Aufbau eines Betriebszweiges auf dem Landwirtschaftsbetrieb",2,IF(AE44="BZ: Gemeinschaftliche Verarbeitung, Lagerung und Vermarktung regionaler landwirtschaftlicher Erzeugnisse",3,IF(AE44="HZ: Gemeinschaftliche Verarbeitung, Lagerung und Vermarktung regionaler landwirtschaftlicher Erzeugnisse",4,IF(AE44="Talgebiet: Gemeinschaftliche Verarbeitung, Lagerung und Vermarktung regionaler landwirtschaftlicher Erzeugnisse",5,IF(AE44="Weitere Massnahmen im Interesse des Gesamtprojekts (Reduktion mind. 50%)",6,IF(AE44="Alpgebäude",7,IF(AE44="Einzelbetriebliche Stallbauten Raufutterverzehrer",8,IF(AE44="Meliorationen Massnahmen",9,IF(AE44="Einzelbetriebliche Massnahmen ökologischer Ziele",10,IF(AE44="…bitte Massnahme auswählen","")))))))))))</f>
        <v>3</v>
      </c>
      <c r="AG44" s="602" t="str">
        <f>IF(AF44&lt;3,"",IF(AF44&gt;3,"",IF(AF44=3,IF(B44&gt;19%,"Hochbau","PRE"))))</f>
        <v>Hochbau</v>
      </c>
    </row>
    <row r="45" spans="1:102" ht="45" customHeight="1" x14ac:dyDescent="0.3">
      <c r="A45" s="624" t="s">
        <v>353</v>
      </c>
      <c r="B45" s="711">
        <v>0.3</v>
      </c>
      <c r="C45" s="546">
        <f>IF($B$44&lt;0.8,($B$40-B41)*B45,0)</f>
        <v>147000</v>
      </c>
      <c r="D45" s="435">
        <f>IF($B$44&gt;0.79,1,IF(B45=0,1,0.33))</f>
        <v>0.33</v>
      </c>
      <c r="E45" s="546">
        <f>IF(D45=0,C45,(1-D45)*C45)</f>
        <v>98489.999999999985</v>
      </c>
      <c r="F45" s="547">
        <f>IF(AF45=1,(IF(AD45="Tal",34%,IF(AD45="HZ / BZ I",37%,IF(AD45="BZ II - IV, Sömmerungsgebiet",40%,)))),IF(AF45=2,(IF(AD45="Tal",34%,IF(AD45="HZ / BZ I",37%,IF(AD45="BZ II - IV, Sömmerungsgebiet",40%,)))),IF(AF45=3,IF(AG45="Hochbau",22%,IF(AD45="Tal",34%,IF(AD45="HZ / BZ I",37%,IF(AD45="BZ II - IV, Sömmerungsgebiet",40%,)))),IF(AF45=4,37%,IF(AF45=5,34%,IF(AF45=6,(IF(AD45="Tal",34%,IF(AD45="HZ / BZ I",37%,IF(AD45="BZ II - IV, Sömmerungsgebiet",40%,)))),IF(AF45=7,"N/A",IF(AF45=8,"N/A",IF(AF45=9,"bitte BLW kontaktieren",IF(AF45=10,"N/A",IF(AF45="","")))))))))))</f>
        <v>0.37</v>
      </c>
      <c r="G45" s="436" t="str">
        <f>IF(AF45=1,IF($B$3="wertschöpfungskettenorientiert",'Dropdown input'!$E$8,IF($B$3="sektorübergreifend",'Dropdown input'!$F$8,IF($B$3="auswählen",""))),IF(AF45=2,IF($B$3="wertschöpfungskettenorientiert",'Dropdown input'!$E$9,IF($B$3="sektorübergreifend",'Dropdown input'!$F$9,IF($B$3="auswählen",""))),IF(AF45=4,IF($B$3="wertschöpfungskettenorientiert",'Dropdown input'!$E$11,IF($B$3="sektorübergreifend",'Dropdown input'!$F$11,IF($B$3="auswählen",""))),IF(AF45=5,IF($B$3="wertschöpfungskettenorientiert",'Dropdown input'!$E$12,IF($B$3="sektorübergreifend",'Dropdown input'!$F$12,IF($B$3="auswählen",""))),IF(AF45=6,IF($B$3="wertschöpfungskettenorientiert",'Dropdown input'!$E$13,IF($B$3="sektorübergreifend",'Dropdown input'!$F$13,IF($B$3="auswählen",""))),IF(AF45=7,IF($B$3="wertschöpfungskettenorientiert",'Dropdown input'!$E$14,IF($B$3="sektorübergreifend",'Dropdown input'!$F$14,IF($B$3="auswählen",""))),IF(AF45=8,IF($B$3="wertschöpfungskettenorientiert",'Dropdown input'!$E$15,IF($B$3="sektorübergreifend",'Dropdown input'!$F$15,IF($B$3="auswählen",""))),IF(AF45=9,IF($B$3="wertschöpfungskettenorientiert",'Dropdown input'!$E$16,IF($B$3="sektorübergreifend",'Dropdown input'!$F$16,IF($B$3="auswählen",""))),IF(AF45=10,IF($B$3="wertschöpfungskettenorientiert",'Dropdown input'!$E$17,IF($B$3="sektorübergreifend",'Dropdown input'!$E$17,IF($B$3="auswählen",""))),IF(AF45="","",IF(AF45=3,IF(AG45="Hochbau",IF($B$3="wertschöpfungskettenorientiert",'Dropdown input'!$E$10,IF($B$3="sektorübergreifend",'Dropdown input'!$F$10,IF($B$3="auswählen","bitte PRE-Typ auswählen"))),IF(AF45=3,IF(AG45="PRE",IF($B$3="wertschöpfungskettenorientiert",'Dropdown input'!$E$11,IF($B$3="sektorübergreifend",'Dropdown input'!$F$11,IF($B$3="auswählen","bitte PRE-Typ auswählen")))))))))))))))))</f>
        <v>bitte PRE-Typ auswählen</v>
      </c>
      <c r="H45" s="548" t="str">
        <f>IFERROR(F45+F45*G45,"")</f>
        <v/>
      </c>
      <c r="I45" s="549">
        <f>IF(AF45=1,'Dropdown input'!$I$8,IF(AF45=2,'Dropdown input'!$I$9,IF(AG45="Hochbau",'Dropdown input'!$I$10,IF(AG45="PRE",'Dropdown input'!$I$11,IF(AF45=4,'Dropdown input'!$I$11,IF(AF45=5,'Dropdown input'!$I$12,IF(AF45=6,'Dropdown input'!$I$13,IF(AF45=7,'Dropdown input'!$I$14,IF(AF45=8,'Dropdown input'!$I$15,IF(AF45=9,"Bitte BLW kontaktieren",IF(#REF!=10,'Dropdown input'!$I$17,"")))))))))))</f>
        <v>0.8</v>
      </c>
      <c r="J45" s="550" t="str">
        <f t="shared" ref="J45:J46" si="16">IFERROR(E45*H45*I45,"bitte PRE-Typ auswählen")</f>
        <v>bitte PRE-Typ auswählen</v>
      </c>
      <c r="K45" s="562"/>
      <c r="L45" s="551" t="str">
        <f>IFERROR((K45+J45)/E45,"")</f>
        <v/>
      </c>
      <c r="M45" s="552" t="str">
        <f>IFERROR(IF(L45&lt;I45*H45,L45/I45,H45),"")</f>
        <v/>
      </c>
      <c r="N45" s="553" t="str">
        <f>IFERROR(M45*E45,"")</f>
        <v/>
      </c>
      <c r="O45" s="554" t="str">
        <f>IFERROR(J45+N45+K45,"")</f>
        <v/>
      </c>
      <c r="P45" s="437" t="str">
        <f>IFERROR(O45/$B$40,"")</f>
        <v/>
      </c>
      <c r="Q45" s="720"/>
      <c r="Y45" s="8"/>
      <c r="AD45" s="440" t="s">
        <v>174</v>
      </c>
      <c r="AE45" s="441" t="s">
        <v>315</v>
      </c>
      <c r="AF45" s="544">
        <f>IF(AE45="Gemeinschaftliche Investitionen im Interesse des Gesamtprojekts",1,IF(AE45="Aufbau eines Betriebszweiges auf dem Landwirtschaftsbetrieb",2,IF(AE45="BZ: Gemeinschaftliche Verarbeitung, Lagerung und Vermarktung regionaler landwirtschaftlicher Erzeugnisse",3,IF(AE45="HZ: Gemeinschaftliche Verarbeitung, Lagerung und Vermarktung regionaler landwirtschaftlicher Erzeugnisse",4,IF(AE45="Talgebiet: Gemeinschaftliche Verarbeitung, Lagerung und Vermarktung regionaler landwirtschaftlicher Erzeugnisse",5,IF(AE45="Weitere Massnahmen im Interesse des Gesamtprojekts (Reduktion mind. 50%)",6,IF(AE45="Alpgebäude",7,IF(AE45="Einzelbetriebliche Stallbauten Raufutterverzehrer",8,IF(AE45="Meliorationen Massnahmen",9,IF(AE45="Einzelbetriebliche Massnahmen ökologischer Ziele",10,IF(AE45="…bitte Massnahme auswählen","")))))))))))</f>
        <v>3</v>
      </c>
      <c r="AG45" s="602" t="str">
        <f>IF(AF45&lt;3,"",IF(AF45&gt;3,"",IF(100%-$B$44&lt;=19%,"Hochbau","PRE")))</f>
        <v>PRE</v>
      </c>
    </row>
    <row r="46" spans="1:102" ht="45" customHeight="1" x14ac:dyDescent="0.3">
      <c r="A46" s="625" t="s">
        <v>354</v>
      </c>
      <c r="B46" s="712">
        <v>0.4</v>
      </c>
      <c r="C46" s="546">
        <f>IF($B$44&lt;0.8,($B$40-B41)*B46,0)</f>
        <v>196000</v>
      </c>
      <c r="D46" s="435">
        <f>IF($B$44&gt;0.79,1,IF(B46=0,1,0.33))</f>
        <v>0.33</v>
      </c>
      <c r="E46" s="604">
        <f>IF(D46=0,C46,(1-D46)*C46)</f>
        <v>131320</v>
      </c>
      <c r="F46" s="547">
        <f>IF(AF46=1,(IF(AD46="Tal",34%,IF(AD46="HZ / BZ I",37%,IF(AD46="BZ II - IV, Sömmerungsgebiet",40%,)))),IF(AF46=2,(IF(AD46="Tal",34%,IF(AD46="HZ / BZ I",37%,IF(AD46="BZ II - IV, Sömmerungsgebiet",40%,)))),IF(AF46=3,IF(AG46="Hochbau",22%,IF(AD46="Tal",34%,IF(AD46="HZ / BZ I",37%,IF(AD46="BZ II - IV, Sömmerungsgebiet",40%,)))),IF(AF46=4,37%,IF(AF46=5,34%,IF(AF46=6,(IF(AD46="Tal",34%,IF(AD46="HZ / BZ I",37%,IF(AD46="BZ II - IV, Sömmerungsgebiet",40%,)))),IF(AF46=7,"N/A",IF(AF46=8,"N/A",IF(AF46=9,"bitte BLW kontaktieren",IF(AF46=10,"N/A",IF(AF46="","")))))))))))</f>
        <v>0.34</v>
      </c>
      <c r="G46" s="436" t="str">
        <f>IF(AF46=1,IF($B$3="wertschöpfungskettenorientiert",'Dropdown input'!$E$8,IF($B$3="sektorübergreifend",'Dropdown input'!$F$8,IF($B$3="auswählen",""))),IF(AF46=2,IF($B$3="wertschöpfungskettenorientiert",'Dropdown input'!$E$9,IF($B$3="sektorübergreifend",'Dropdown input'!$F$9,IF($B$3="auswählen",""))),IF(AF46=4,IF($B$3="wertschöpfungskettenorientiert",'Dropdown input'!$E$11,IF($B$3="sektorübergreifend",'Dropdown input'!$F$11,IF($B$3="auswählen",""))),IF(AF46=5,IF($B$3="wertschöpfungskettenorientiert",'Dropdown input'!$E$12,IF($B$3="sektorübergreifend",'Dropdown input'!$F$12,IF($B$3="auswählen",""))),IF(AF46=6,IF($B$3="wertschöpfungskettenorientiert",'Dropdown input'!$E$13,IF($B$3="sektorübergreifend",'Dropdown input'!$F$13,IF($B$3="auswählen",""))),IF(AF46=7,IF($B$3="wertschöpfungskettenorientiert",'Dropdown input'!$E$14,IF($B$3="sektorübergreifend",'Dropdown input'!$F$14,IF($B$3="auswählen",""))),IF(AF46=8,IF($B$3="wertschöpfungskettenorientiert",'Dropdown input'!$E$15,IF($B$3="sektorübergreifend",'Dropdown input'!$F$15,IF($B$3="auswählen",""))),IF(AF46=9,IF($B$3="wertschöpfungskettenorientiert",'Dropdown input'!$E$16,IF($B$3="sektorübergreifend",'Dropdown input'!$F$16,IF($B$3="auswählen",""))),IF(AF46=10,IF($B$3="wertschöpfungskettenorientiert",'Dropdown input'!$E$17,IF($B$3="sektorübergreifend",'Dropdown input'!$E$17,IF($B$3="auswählen",""))),IF(AF46="","",IF(AF46=3,IF(AG46="Hochbau",IF($B$3="wertschöpfungskettenorientiert",'Dropdown input'!$E$10,IF($B$3="sektorübergreifend",'Dropdown input'!$F$10,IF($B$3="auswählen","bitte PRE-Typ auswählen"))),IF(AF46=3,IF(AG46="PRE",IF($B$3="wertschöpfungskettenorientiert",'Dropdown input'!$E$11,IF($B$3="sektorübergreifend",'Dropdown input'!$F$11,IF($B$3="auswählen","bitte PRE-Typ auswählen")))))))))))))))))</f>
        <v>bitte PRE-Typ auswählen</v>
      </c>
      <c r="H46" s="605" t="str">
        <f>IFERROR(F46+F46*G46,"")</f>
        <v/>
      </c>
      <c r="I46" s="606">
        <f>IF(AF46=1,'Dropdown input'!$I$8,IF(AF46=2,'Dropdown input'!$I$9,IF(AG46="Hochbau",'Dropdown input'!$I$10,IF(AG46="PRE",'Dropdown input'!$I$11,IF(AF46=4,'Dropdown input'!$I$11,IF(AF46=5,'Dropdown input'!$I$12,IF(AF46=6,'Dropdown input'!$I$13,IF(AF46=7,'Dropdown input'!$I$14,IF(AF46=8,'Dropdown input'!$I$15,IF(AF46=9,"Bitte BLW kontaktieren",IF(#REF!=10,'Dropdown input'!$I$17,"")))))))))))</f>
        <v>0.8</v>
      </c>
      <c r="J46" s="550" t="str">
        <f t="shared" si="16"/>
        <v>bitte PRE-Typ auswählen</v>
      </c>
      <c r="K46" s="607"/>
      <c r="L46" s="608" t="str">
        <f>IFERROR((K46+J46)/E46,"")</f>
        <v/>
      </c>
      <c r="M46" s="552" t="str">
        <f>IFERROR(IF(L46&lt;I46*H46,L46/I46,H46),"")</f>
        <v/>
      </c>
      <c r="N46" s="609" t="str">
        <f>IFERROR(M46*E46,"")</f>
        <v/>
      </c>
      <c r="O46" s="610" t="str">
        <f>IFERROR(J46+N46+K46,"")</f>
        <v/>
      </c>
      <c r="P46" s="437" t="str">
        <f>IFERROR(O46/$B$40,"")</f>
        <v/>
      </c>
      <c r="Q46" s="721"/>
      <c r="Y46" s="8"/>
      <c r="AD46" s="448" t="s">
        <v>64</v>
      </c>
      <c r="AE46" s="449" t="s">
        <v>315</v>
      </c>
      <c r="AF46" s="603">
        <f>IF(AE46="Gemeinschaftliche Investitionen im Interesse des Gesamtprojekts",1,IF(AE46="Aufbau eines Betriebszweiges auf dem Landwirtschaftsbetrieb",2,IF(AE46="BZ: Gemeinschaftliche Verarbeitung, Lagerung und Vermarktung regionaler landwirtschaftlicher Erzeugnisse",3,IF(AE46="HZ: Gemeinschaftliche Verarbeitung, Lagerung und Vermarktung regionaler landwirtschaftlicher Erzeugnisse",4,IF(AE46="Talgebiet: Gemeinschaftliche Verarbeitung, Lagerung und Vermarktung regionaler landwirtschaftlicher Erzeugnisse",5,IF(AE46="Weitere Massnahmen im Interesse des Gesamtprojekts (Reduktion mind. 50%)",6,IF(AE46="Alpgebäude",7,IF(AE46="Einzelbetriebliche Stallbauten Raufutterverzehrer",8,IF(AE46="Meliorationen Massnahmen",9,IF(AE46="Einzelbetriebliche Massnahmen ökologischer Ziele",10,IF(AE46="…bitte Massnahme auswählen","")))))))))))</f>
        <v>3</v>
      </c>
      <c r="AG46" s="602" t="str">
        <f>IF(AF46&lt;3,"",IF(AF46&gt;3,"",IF(100%-$B$44&lt;=19%,"Hochbau","PRE")))</f>
        <v>PRE</v>
      </c>
    </row>
    <row r="47" spans="1:102" ht="93.5" thickBot="1" x14ac:dyDescent="0.35">
      <c r="A47" s="612"/>
      <c r="B47" s="713">
        <f>IF(SUM(B44:B46)=1,SUM(B44:B46),"Die Summe der %-Rohstoffherkünfte muss genau 100% sein!")</f>
        <v>1</v>
      </c>
      <c r="C47" s="614">
        <f>B40-B41</f>
        <v>490000</v>
      </c>
      <c r="D47" s="621">
        <f>IF($B$44&gt;0.79,0,(B44*D44+B45*D45+B46*D46))</f>
        <v>0.23100000000000001</v>
      </c>
      <c r="E47" s="614">
        <f>(C47)*(1-D47)</f>
        <v>376810</v>
      </c>
      <c r="F47" s="615">
        <f>IF(E45&gt;0,(($E$44/$E$47)*F44+($E$45/$E$47)*F45+($E$46/$E$47)*F46),F44)</f>
        <v>0.30102730819245771</v>
      </c>
      <c r="G47" s="615" t="str">
        <f>IFERROR((H47-F47)/F47,"")</f>
        <v/>
      </c>
      <c r="H47" s="615" t="str">
        <f>IFERROR(($E$44/$E$47)*H44+($E$45/$E$47)*H45+($E$46/$E$47)*H46,"")</f>
        <v/>
      </c>
      <c r="I47" s="627" t="str">
        <f>IFERROR(J47/(E47*H47),"")</f>
        <v/>
      </c>
      <c r="J47" s="614">
        <f>SUM(J44:J46)</f>
        <v>0</v>
      </c>
      <c r="K47" s="616">
        <f>SUM(K44:K46)</f>
        <v>0</v>
      </c>
      <c r="L47" s="617">
        <f>IFERROR((K47+J47)/E47,"")</f>
        <v>0</v>
      </c>
      <c r="M47" s="628" t="str">
        <f>IFERROR(IF(L47&lt;I47*H47,L47/I47,H47),"")</f>
        <v/>
      </c>
      <c r="N47" s="618" t="str">
        <f>IFERROR(M47*E47,"")</f>
        <v/>
      </c>
      <c r="O47" s="616">
        <f>SUM(O44:O46)</f>
        <v>0</v>
      </c>
      <c r="P47" s="619">
        <f>IFERROR(O47/B40,"")</f>
        <v>0</v>
      </c>
      <c r="Q47" s="722">
        <f>B40-O47</f>
        <v>500000</v>
      </c>
      <c r="Y47" s="8"/>
      <c r="AD47" s="626"/>
      <c r="AE47" s="620" t="s">
        <v>315</v>
      </c>
      <c r="AF47" s="611">
        <f>IF(AE47="Gemeinschaftliche Investitionen im Interesse des Gesamtprojekts",1,IF(AE47="Aufbau eines Betriebszweiges auf dem Landwirtschaftsbetrieb",2,IF(AE47="BZ: Gemeinschaftliche Verarbeitung, Lagerung und Vermarktung regionaler landwirtschaftlicher Erzeugnisse",3,IF(AE47="HZ: Gemeinschaftliche Verarbeitung, Lagerung und Vermarktung regionaler landwirtschaftlicher Erzeugnisse",4,IF(AE47="Talgebiet: Gemeinschaftliche Verarbeitung, Lagerung und Vermarktung regionaler landwirtschaftlicher Erzeugnisse",5,IF(AE47="Weitere Massnahmen im Interesse des Gesamtprojekts (Reduktion mind. 50%)",6,IF(AE47="Alpgebäude",7,IF(AE47="Einzelbetriebliche Stallbauten Raufutterverzehrer",8,IF(AE47="Meliorationen Massnahmen",9,IF(AE47="Einzelbetriebliche Massnahmen ökologischer Ziele",10,IF(AE47="…bitte Massnahme auswählen","")))))))))))</f>
        <v>3</v>
      </c>
      <c r="AG47" s="613"/>
    </row>
    <row r="48" spans="1:102" ht="16" thickTop="1" x14ac:dyDescent="0.3"/>
    <row r="87" spans="1:1" x14ac:dyDescent="0.3">
      <c r="A87" s="414"/>
    </row>
  </sheetData>
  <sheetProtection sheet="1" objects="1" scenarios="1"/>
  <mergeCells count="4">
    <mergeCell ref="A38:X38"/>
    <mergeCell ref="A23:I23"/>
    <mergeCell ref="A11:L11"/>
    <mergeCell ref="A12:L12"/>
  </mergeCells>
  <conditionalFormatting sqref="P26:Q34">
    <cfRule type="expression" dxfId="55" priority="22">
      <formula>$Q$26&lt;(#REF!*$J$26)</formula>
    </cfRule>
  </conditionalFormatting>
  <conditionalFormatting sqref="B3:B8">
    <cfRule type="cellIs" dxfId="54" priority="5" operator="equal">
      <formula>"auswählen"</formula>
    </cfRule>
  </conditionalFormatting>
  <conditionalFormatting sqref="B5">
    <cfRule type="cellIs" dxfId="53" priority="3" operator="equal">
      <formula>$G$6</formula>
    </cfRule>
    <cfRule type="cellIs" dxfId="52" priority="4" operator="equal">
      <formula>""""""</formula>
    </cfRule>
  </conditionalFormatting>
  <conditionalFormatting sqref="B47">
    <cfRule type="cellIs" dxfId="51" priority="1" operator="notEqual">
      <formula>1</formula>
    </cfRule>
  </conditionalFormatting>
  <conditionalFormatting sqref="K44:L46 L47">
    <cfRule type="expression" dxfId="50" priority="23">
      <formula>$L$44&lt;(#REF!*$F$44)</formula>
    </cfRule>
  </conditionalFormatting>
  <dataValidations count="2">
    <dataValidation type="list" allowBlank="1" showInputMessage="1" showErrorMessage="1" sqref="B5" xr:uid="{00000000-0002-0000-0000-000000000000}">
      <formula1>INDIRECT(B4)</formula1>
    </dataValidation>
    <dataValidation type="list" allowBlank="1" showInputMessage="1" showErrorMessage="1" sqref="G50" xr:uid="{00000000-0002-0000-0000-000001000000}">
      <formula1>$B$29:$B$31</formula1>
    </dataValidation>
  </dataValidations>
  <pageMargins left="0.25" right="0.25" top="0.75" bottom="0.75" header="0.3" footer="0.3"/>
  <pageSetup paperSize="9" scale="25" fitToHeight="0" orientation="landscape" r:id="rId1"/>
  <ignoredErrors>
    <ignoredError sqref="R26:S26 Q26:Q34 R35:S35 R27:S27 R28:S34 J44:Q46 K47:Q47" unlockedFormula="1"/>
  </ignoredError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'Dropdown input'!$B$27:$G$27</xm:f>
          </x14:formula1>
          <xm:sqref>B4</xm:sqref>
        </x14:dataValidation>
        <x14:dataValidation type="list" allowBlank="1" showInputMessage="1" showErrorMessage="1" xr:uid="{00000000-0002-0000-0000-000003000000}">
          <x14:formula1>
            <xm:f>'Dropdown input'!$B$37:$B$38</xm:f>
          </x14:formula1>
          <xm:sqref>B9</xm:sqref>
        </x14:dataValidation>
        <x14:dataValidation type="list" allowBlank="1" showInputMessage="1" showErrorMessage="1" xr:uid="{00000000-0002-0000-0000-000004000000}">
          <x14:formula1>
            <xm:f>'Dropdown input'!$B$42:$B$44</xm:f>
          </x14:formula1>
          <xm:sqref>B7</xm:sqref>
        </x14:dataValidation>
        <x14:dataValidation type="list" allowBlank="1" showInputMessage="1" showErrorMessage="1" xr:uid="{00000000-0002-0000-0000-000005000000}">
          <x14:formula1>
            <xm:f>'Dropdown input'!$D$42:$D$44</xm:f>
          </x14:formula1>
          <xm:sqref>B3</xm:sqref>
        </x14:dataValidation>
        <x14:dataValidation type="list" allowBlank="1" showInputMessage="1" showErrorMessage="1" xr:uid="{00000000-0002-0000-0000-000006000000}">
          <x14:formula1>
            <xm:f>'Dropdown input'!$B$22:$B$25</xm:f>
          </x14:formula1>
          <xm:sqref>C26:C34</xm:sqref>
        </x14:dataValidation>
        <x14:dataValidation type="list" allowBlank="1" showInputMessage="1" showErrorMessage="1" xr:uid="{00000000-0002-0000-0000-000007000000}">
          <x14:formula1>
            <xm:f>'Dropdown input'!$B$37:$B$39</xm:f>
          </x14:formula1>
          <xm:sqref>B8</xm:sqref>
        </x14:dataValidation>
        <x14:dataValidation type="list" allowBlank="1" showInputMessage="1" showErrorMessage="1" xr:uid="{00000000-0002-0000-0000-000008000000}">
          <x14:formula1>
            <xm:f>'Dropdown input'!$D$37:$D$39</xm:f>
          </x14:formula1>
          <xm:sqref>B6</xm:sqref>
        </x14:dataValidation>
        <x14:dataValidation type="list" allowBlank="1" showInputMessage="1" showErrorMessage="1" xr:uid="{00000000-0002-0000-0000-000009000000}">
          <x14:formula1>
            <xm:f>'Dropdown input'!$B$7:$B$18</xm:f>
          </x14:formula1>
          <xm:sqref>D26:D34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O61"/>
  <sheetViews>
    <sheetView showGridLines="0" topLeftCell="A22" zoomScale="70" zoomScaleNormal="70" zoomScaleSheetLayoutView="40" workbookViewId="0">
      <selection activeCell="L20" sqref="L20:M22"/>
    </sheetView>
  </sheetViews>
  <sheetFormatPr baseColWidth="10" defaultColWidth="10.58203125" defaultRowHeight="15.5" outlineLevelRow="1" outlineLevelCol="1" x14ac:dyDescent="0.35"/>
  <cols>
    <col min="1" max="1" width="60.08203125" style="4" customWidth="1"/>
    <col min="2" max="2" width="13.83203125" style="4" customWidth="1"/>
    <col min="3" max="3" width="15" style="4" customWidth="1"/>
    <col min="4" max="4" width="16.58203125" style="4" customWidth="1"/>
    <col min="5" max="9" width="15" style="4" customWidth="1" outlineLevel="1"/>
    <col min="10" max="10" width="17.75" style="4" customWidth="1"/>
    <col min="11" max="15" width="10.58203125" style="4"/>
    <col min="16" max="16" width="27.5" style="696" customWidth="1"/>
    <col min="17" max="17" width="9.08203125" style="4" customWidth="1"/>
    <col min="18" max="18" width="7" style="4" customWidth="1"/>
    <col min="19" max="19" width="6.08203125" style="4" customWidth="1"/>
    <col min="20" max="16384" width="10.58203125" style="4"/>
  </cols>
  <sheetData>
    <row r="1" spans="1:41" s="393" customFormat="1" ht="26.5" customHeight="1" x14ac:dyDescent="0.3">
      <c r="A1" s="477" t="s">
        <v>113</v>
      </c>
      <c r="B1" s="74"/>
      <c r="C1" s="74"/>
      <c r="D1" s="74"/>
      <c r="E1" s="74"/>
      <c r="F1" s="74"/>
      <c r="G1" s="74"/>
      <c r="H1" s="74"/>
      <c r="I1" s="74"/>
      <c r="J1" s="74"/>
      <c r="K1" s="74"/>
      <c r="L1" s="74"/>
      <c r="M1" s="74"/>
      <c r="N1" s="74"/>
      <c r="O1" s="74"/>
      <c r="P1" s="392"/>
      <c r="Q1" s="74"/>
      <c r="R1" s="74"/>
      <c r="S1" s="74"/>
      <c r="T1" s="8"/>
      <c r="U1" s="8"/>
      <c r="V1" s="8"/>
      <c r="W1" s="8"/>
      <c r="X1" s="8"/>
      <c r="Y1" s="8"/>
      <c r="Z1" s="8"/>
      <c r="AA1" s="8"/>
      <c r="AB1" s="8"/>
      <c r="AC1" s="8"/>
      <c r="AD1" s="8"/>
      <c r="AE1" s="8"/>
      <c r="AF1" s="8"/>
      <c r="AG1" s="8"/>
      <c r="AH1" s="8"/>
      <c r="AI1" s="8"/>
      <c r="AJ1" s="8"/>
      <c r="AK1" s="8"/>
      <c r="AL1" s="8"/>
      <c r="AM1" s="8"/>
      <c r="AN1" s="8"/>
      <c r="AO1" s="8"/>
    </row>
    <row r="2" spans="1:41" s="78" customFormat="1" ht="34" customHeight="1" x14ac:dyDescent="0.3">
      <c r="A2" s="79" t="s">
        <v>75</v>
      </c>
      <c r="B2" s="765" t="str">
        <f>IF('Übersicht TP '!B2=0,"",'Übersicht TP '!B2)</f>
        <v/>
      </c>
      <c r="C2" s="765"/>
      <c r="D2" s="483"/>
      <c r="E2" s="79" t="s">
        <v>10</v>
      </c>
      <c r="F2" s="80"/>
      <c r="G2" s="483"/>
      <c r="H2" s="483"/>
      <c r="I2" s="483"/>
      <c r="J2" s="483"/>
      <c r="K2" s="483"/>
      <c r="L2" s="483"/>
      <c r="M2" s="483"/>
      <c r="N2" s="483"/>
      <c r="O2" s="483"/>
      <c r="P2" s="518"/>
      <c r="Q2" s="483"/>
      <c r="R2" s="483"/>
      <c r="T2" s="8"/>
      <c r="U2" s="8"/>
      <c r="V2" s="225"/>
      <c r="W2" s="225"/>
      <c r="X2" s="8"/>
      <c r="Y2" s="8"/>
      <c r="Z2" s="8"/>
      <c r="AA2" s="8"/>
      <c r="AB2" s="8"/>
      <c r="AC2" s="8"/>
      <c r="AD2" s="8"/>
      <c r="AE2" s="8"/>
      <c r="AF2" s="8"/>
    </row>
    <row r="3" spans="1:41" s="1" customFormat="1" ht="28.5" customHeight="1" x14ac:dyDescent="0.3">
      <c r="A3" s="481" t="s">
        <v>245</v>
      </c>
      <c r="B3" s="6"/>
      <c r="C3" s="6"/>
      <c r="D3" s="6"/>
      <c r="E3" s="6"/>
      <c r="F3" s="6"/>
      <c r="G3" s="6"/>
      <c r="H3" s="6"/>
      <c r="I3" s="6"/>
      <c r="J3" s="7"/>
      <c r="K3" s="6"/>
      <c r="L3" s="6"/>
      <c r="M3" s="6"/>
      <c r="N3" s="6"/>
      <c r="O3" s="6"/>
      <c r="P3" s="531"/>
      <c r="Q3" s="6"/>
      <c r="R3" s="6"/>
      <c r="S3" s="6"/>
      <c r="T3" s="225"/>
      <c r="U3" s="225"/>
      <c r="V3" s="225"/>
      <c r="W3" s="225"/>
      <c r="X3" s="8"/>
      <c r="Y3" s="8"/>
      <c r="Z3" s="8"/>
      <c r="AA3" s="8"/>
      <c r="AB3" s="8"/>
      <c r="AC3" s="8"/>
      <c r="AD3" s="8"/>
      <c r="AE3" s="8"/>
      <c r="AF3" s="8"/>
      <c r="AG3" s="239"/>
      <c r="AH3" s="239"/>
      <c r="AI3" s="239"/>
      <c r="AJ3" s="239"/>
    </row>
    <row r="4" spans="1:41" s="14" customFormat="1" ht="65.5" customHeight="1" outlineLevel="1" x14ac:dyDescent="0.35">
      <c r="A4" s="766" t="s">
        <v>411</v>
      </c>
      <c r="B4" s="767"/>
      <c r="C4" s="767"/>
      <c r="D4" s="767"/>
      <c r="E4" s="767"/>
      <c r="F4" s="767"/>
      <c r="G4" s="767"/>
      <c r="H4" s="767"/>
      <c r="I4" s="767"/>
      <c r="J4" s="767"/>
      <c r="K4" s="767"/>
      <c r="L4" s="767"/>
      <c r="M4" s="767"/>
      <c r="N4" s="767"/>
      <c r="O4" s="767"/>
      <c r="P4" s="767"/>
      <c r="Q4" s="697"/>
      <c r="R4" s="697"/>
      <c r="S4" s="697"/>
      <c r="T4" s="225"/>
      <c r="U4" s="225"/>
      <c r="V4" s="225"/>
      <c r="W4" s="225"/>
      <c r="X4" s="8"/>
      <c r="Y4" s="8"/>
      <c r="Z4" s="8"/>
      <c r="AA4" s="8"/>
      <c r="AB4" s="8"/>
      <c r="AC4" s="8"/>
      <c r="AD4" s="8"/>
      <c r="AE4" s="8"/>
      <c r="AF4" s="8"/>
    </row>
    <row r="5" spans="1:41" s="14" customFormat="1" ht="23.15" customHeight="1" x14ac:dyDescent="0.35">
      <c r="A5" s="411" t="s">
        <v>163</v>
      </c>
      <c r="B5" s="84"/>
      <c r="C5" s="84"/>
      <c r="D5" s="84"/>
      <c r="E5" s="84"/>
      <c r="F5" s="84"/>
      <c r="G5" s="84"/>
      <c r="H5" s="84"/>
      <c r="I5" s="84"/>
      <c r="J5" s="84"/>
      <c r="K5" s="84"/>
      <c r="L5" s="84"/>
      <c r="M5" s="84"/>
      <c r="N5" s="84"/>
      <c r="O5" s="84"/>
      <c r="P5" s="689"/>
      <c r="Q5" s="85"/>
      <c r="R5" s="85"/>
      <c r="S5" s="85"/>
      <c r="T5" s="225"/>
      <c r="U5" s="225"/>
      <c r="V5" s="225"/>
      <c r="W5" s="225"/>
      <c r="X5" s="225"/>
      <c r="Y5" s="225"/>
      <c r="Z5" s="225"/>
      <c r="AA5" s="225"/>
      <c r="AB5" s="225"/>
      <c r="AC5" s="225"/>
      <c r="AD5" s="225"/>
      <c r="AE5" s="225"/>
      <c r="AF5" s="225"/>
      <c r="AG5" s="239"/>
      <c r="AH5" s="239"/>
      <c r="AI5" s="239"/>
      <c r="AJ5" s="239"/>
    </row>
    <row r="6" spans="1:41" s="14" customFormat="1" ht="6" customHeight="1" x14ac:dyDescent="0.35">
      <c r="A6" s="225"/>
      <c r="B6" s="225"/>
      <c r="C6" s="225"/>
      <c r="D6" s="225"/>
      <c r="E6" s="225"/>
      <c r="F6" s="225"/>
      <c r="G6" s="225"/>
      <c r="H6" s="225"/>
      <c r="I6" s="225"/>
      <c r="J6" s="225"/>
      <c r="K6" s="225"/>
      <c r="L6" s="225"/>
      <c r="M6" s="225"/>
      <c r="N6" s="225"/>
      <c r="O6" s="225"/>
      <c r="P6" s="519"/>
      <c r="T6" s="8"/>
      <c r="U6" s="8"/>
      <c r="V6" s="8"/>
      <c r="W6" s="8"/>
      <c r="X6" s="8"/>
      <c r="Y6" s="8"/>
      <c r="Z6" s="8"/>
      <c r="AA6" s="8"/>
      <c r="AB6" s="8"/>
      <c r="AC6" s="8"/>
      <c r="AD6" s="8"/>
      <c r="AE6" s="8"/>
      <c r="AF6" s="8"/>
    </row>
    <row r="7" spans="1:41" s="1" customFormat="1" ht="24.65" customHeight="1" x14ac:dyDescent="0.3">
      <c r="A7" s="481" t="s">
        <v>222</v>
      </c>
      <c r="B7" s="6"/>
      <c r="C7" s="6"/>
      <c r="D7" s="6"/>
      <c r="E7" s="6"/>
      <c r="F7" s="6"/>
      <c r="G7" s="6"/>
      <c r="H7" s="6"/>
      <c r="I7" s="6"/>
      <c r="J7" s="7"/>
      <c r="K7" s="6"/>
      <c r="L7" s="6"/>
      <c r="M7" s="6"/>
      <c r="N7" s="6"/>
      <c r="O7" s="6"/>
      <c r="P7" s="531"/>
      <c r="Q7" s="484" t="s">
        <v>94</v>
      </c>
      <c r="R7" s="6"/>
      <c r="S7" s="6"/>
      <c r="T7" s="225"/>
      <c r="U7" s="225"/>
      <c r="V7" s="225"/>
      <c r="W7" s="225"/>
      <c r="X7" s="8"/>
      <c r="Y7" s="8"/>
      <c r="Z7" s="8"/>
      <c r="AA7" s="8"/>
      <c r="AB7" s="8"/>
      <c r="AC7" s="8"/>
      <c r="AD7" s="8"/>
      <c r="AE7" s="8"/>
      <c r="AF7" s="8"/>
      <c r="AG7" s="239"/>
      <c r="AH7" s="239"/>
      <c r="AI7" s="239"/>
      <c r="AJ7" s="239"/>
    </row>
    <row r="8" spans="1:41" s="8" customFormat="1" ht="44.5" customHeight="1" x14ac:dyDescent="0.3">
      <c r="A8" s="485"/>
      <c r="B8" s="486"/>
      <c r="C8" s="487" t="s">
        <v>1</v>
      </c>
      <c r="D8" s="487" t="s">
        <v>221</v>
      </c>
      <c r="E8" s="487" t="s">
        <v>3</v>
      </c>
      <c r="F8" s="487" t="s">
        <v>4</v>
      </c>
      <c r="G8" s="487" t="s">
        <v>5</v>
      </c>
      <c r="H8" s="487" t="s">
        <v>6</v>
      </c>
      <c r="I8" s="487" t="s">
        <v>7</v>
      </c>
      <c r="J8" s="488" t="s">
        <v>215</v>
      </c>
      <c r="K8" s="489" t="s">
        <v>19</v>
      </c>
      <c r="L8" s="489" t="s">
        <v>355</v>
      </c>
      <c r="M8" s="489"/>
      <c r="N8" s="489" t="s">
        <v>356</v>
      </c>
      <c r="O8" s="489"/>
      <c r="P8" s="690" t="s">
        <v>93</v>
      </c>
      <c r="Q8" s="10" t="s">
        <v>56</v>
      </c>
      <c r="R8" s="10" t="s">
        <v>2</v>
      </c>
      <c r="S8" s="11" t="s">
        <v>7</v>
      </c>
    </row>
    <row r="9" spans="1:41" s="239" customFormat="1" ht="32.15" customHeight="1" x14ac:dyDescent="0.3">
      <c r="A9" s="521" t="s">
        <v>300</v>
      </c>
      <c r="B9" s="522"/>
      <c r="C9" s="523">
        <f t="shared" ref="C9:J9" si="0">SUM(C10:C18)</f>
        <v>0</v>
      </c>
      <c r="D9" s="523">
        <f t="shared" si="0"/>
        <v>0</v>
      </c>
      <c r="E9" s="523">
        <f t="shared" si="0"/>
        <v>0</v>
      </c>
      <c r="F9" s="523">
        <f t="shared" si="0"/>
        <v>0</v>
      </c>
      <c r="G9" s="523">
        <f t="shared" si="0"/>
        <v>0</v>
      </c>
      <c r="H9" s="523">
        <f t="shared" si="0"/>
        <v>0</v>
      </c>
      <c r="I9" s="523">
        <f t="shared" si="0"/>
        <v>0</v>
      </c>
      <c r="J9" s="524">
        <f t="shared" si="0"/>
        <v>0</v>
      </c>
      <c r="K9" s="525">
        <f>SUM(C9:J9)</f>
        <v>0</v>
      </c>
      <c r="L9" s="742" t="str">
        <f>C8</f>
        <v>n = Vorjahr</v>
      </c>
      <c r="M9" s="742" t="str">
        <f>I8</f>
        <v>n+6</v>
      </c>
      <c r="N9" s="742" t="str">
        <f>C8</f>
        <v>n = Vorjahr</v>
      </c>
      <c r="O9" s="743" t="str">
        <f>I8</f>
        <v>n+6</v>
      </c>
      <c r="P9" s="691"/>
      <c r="Q9" s="526" t="str">
        <f>IF(SUM(Q10:Q18)=100%,"OK","!")</f>
        <v>!</v>
      </c>
      <c r="R9" s="526" t="str">
        <f>IF(SUM(R10:R18)=100%,"OK","!")</f>
        <v>!</v>
      </c>
      <c r="S9" s="526" t="str">
        <f>IF(SUM(S10:S18)=100%,"OK","!")</f>
        <v>!</v>
      </c>
    </row>
    <row r="10" spans="1:41" s="8" customFormat="1" x14ac:dyDescent="0.3">
      <c r="A10" s="490" t="s">
        <v>390</v>
      </c>
      <c r="B10" s="491"/>
      <c r="C10" s="498">
        <f>L10*N10</f>
        <v>0</v>
      </c>
      <c r="D10" s="490"/>
      <c r="E10" s="490"/>
      <c r="F10" s="490"/>
      <c r="G10" s="490"/>
      <c r="H10" s="490"/>
      <c r="I10" s="498">
        <f>M10*O10</f>
        <v>0</v>
      </c>
      <c r="J10" s="492"/>
      <c r="K10" s="493">
        <f>SUM(C10:J10)</f>
        <v>0</v>
      </c>
      <c r="L10" s="492"/>
      <c r="M10" s="492"/>
      <c r="N10" s="492"/>
      <c r="O10" s="492"/>
      <c r="P10" s="692"/>
      <c r="Q10" s="13" t="str">
        <f>IFERROR(C10/$C$9,"N/A")</f>
        <v>N/A</v>
      </c>
      <c r="R10" s="13" t="str">
        <f>IFERROR(D10/$D$9,"N/A")</f>
        <v>N/A</v>
      </c>
      <c r="S10" s="13" t="str">
        <f>IFERROR(I10/$I$9,"N/A")</f>
        <v>N/A</v>
      </c>
    </row>
    <row r="11" spans="1:41" s="8" customFormat="1" x14ac:dyDescent="0.3">
      <c r="A11" s="490" t="s">
        <v>391</v>
      </c>
      <c r="B11" s="491"/>
      <c r="C11" s="498">
        <f t="shared" ref="C11:C17" si="1">L11*N11</f>
        <v>0</v>
      </c>
      <c r="D11" s="490"/>
      <c r="E11" s="490"/>
      <c r="F11" s="490"/>
      <c r="G11" s="490"/>
      <c r="H11" s="490"/>
      <c r="I11" s="498">
        <f t="shared" ref="I11:I17" si="2">M11*O11</f>
        <v>0</v>
      </c>
      <c r="J11" s="492"/>
      <c r="K11" s="493">
        <f t="shared" ref="K11:K18" si="3">SUM(C11:J11)</f>
        <v>0</v>
      </c>
      <c r="L11" s="492"/>
      <c r="M11" s="492"/>
      <c r="N11" s="492"/>
      <c r="O11" s="492"/>
      <c r="P11" s="692"/>
      <c r="Q11" s="13" t="str">
        <f>IFERROR(C11/$C$9,"N/A")</f>
        <v>N/A</v>
      </c>
      <c r="R11" s="13" t="str">
        <f>IFERROR(D11/$D$9,"N/A")</f>
        <v>N/A</v>
      </c>
      <c r="S11" s="13" t="str">
        <f>IFERROR(I11/$I$9,"N/A")</f>
        <v>N/A</v>
      </c>
    </row>
    <row r="12" spans="1:41" s="8" customFormat="1" x14ac:dyDescent="0.3">
      <c r="A12" s="490" t="s">
        <v>392</v>
      </c>
      <c r="B12" s="491"/>
      <c r="C12" s="498">
        <f t="shared" si="1"/>
        <v>0</v>
      </c>
      <c r="D12" s="490"/>
      <c r="E12" s="490"/>
      <c r="F12" s="490"/>
      <c r="G12" s="490"/>
      <c r="H12" s="490"/>
      <c r="I12" s="498">
        <f t="shared" si="2"/>
        <v>0</v>
      </c>
      <c r="J12" s="492"/>
      <c r="K12" s="493">
        <f t="shared" si="3"/>
        <v>0</v>
      </c>
      <c r="L12" s="492"/>
      <c r="M12" s="492"/>
      <c r="N12" s="492"/>
      <c r="O12" s="492"/>
      <c r="P12" s="692"/>
      <c r="Q12" s="13" t="str">
        <f>IFERROR(C12/$C$9,"N/A")</f>
        <v>N/A</v>
      </c>
      <c r="R12" s="13" t="str">
        <f>IFERROR(D12/$D$9,"N/A")</f>
        <v>N/A</v>
      </c>
      <c r="S12" s="13" t="str">
        <f>IFERROR(I12/$I$9,"N/A")</f>
        <v>N/A</v>
      </c>
    </row>
    <row r="13" spans="1:41" s="8" customFormat="1" x14ac:dyDescent="0.3">
      <c r="A13" s="490"/>
      <c r="B13" s="491"/>
      <c r="C13" s="498">
        <f t="shared" si="1"/>
        <v>0</v>
      </c>
      <c r="D13" s="490"/>
      <c r="E13" s="490"/>
      <c r="F13" s="490"/>
      <c r="G13" s="490"/>
      <c r="H13" s="490"/>
      <c r="I13" s="498">
        <f t="shared" si="2"/>
        <v>0</v>
      </c>
      <c r="J13" s="492"/>
      <c r="K13" s="493">
        <f t="shared" si="3"/>
        <v>0</v>
      </c>
      <c r="L13" s="492"/>
      <c r="M13" s="492"/>
      <c r="N13" s="492"/>
      <c r="O13" s="492"/>
      <c r="P13" s="692"/>
      <c r="Q13" s="13" t="str">
        <f>IFERROR(C13/$C$9,"N/A")</f>
        <v>N/A</v>
      </c>
      <c r="R13" s="13" t="str">
        <f>IFERROR(D13/$D$9,"N/A")</f>
        <v>N/A</v>
      </c>
      <c r="S13" s="13" t="str">
        <f>IFERROR(I13/$I$9,"N/A")</f>
        <v>N/A</v>
      </c>
    </row>
    <row r="14" spans="1:41" s="8" customFormat="1" x14ac:dyDescent="0.3">
      <c r="A14" s="490" t="s">
        <v>223</v>
      </c>
      <c r="B14" s="491"/>
      <c r="C14" s="498">
        <f t="shared" si="1"/>
        <v>0</v>
      </c>
      <c r="D14" s="490"/>
      <c r="E14" s="490"/>
      <c r="F14" s="490"/>
      <c r="G14" s="490"/>
      <c r="H14" s="490"/>
      <c r="I14" s="498">
        <f t="shared" si="2"/>
        <v>0</v>
      </c>
      <c r="J14" s="492"/>
      <c r="K14" s="493">
        <f t="shared" si="3"/>
        <v>0</v>
      </c>
      <c r="L14" s="492"/>
      <c r="M14" s="492"/>
      <c r="N14" s="492"/>
      <c r="O14" s="492"/>
      <c r="P14" s="692"/>
      <c r="Q14" s="13" t="str">
        <f>IFERROR(C14/$C$9,"N/A")</f>
        <v>N/A</v>
      </c>
      <c r="R14" s="13" t="str">
        <f>IFERROR(D14/$D$9,"N/A")</f>
        <v>N/A</v>
      </c>
      <c r="S14" s="13" t="str">
        <f>IFERROR(I14/$I$9,"N/A")</f>
        <v>N/A</v>
      </c>
    </row>
    <row r="15" spans="1:41" s="8" customFormat="1" x14ac:dyDescent="0.3">
      <c r="A15" s="490"/>
      <c r="B15" s="491"/>
      <c r="C15" s="498">
        <f t="shared" si="1"/>
        <v>0</v>
      </c>
      <c r="D15" s="490"/>
      <c r="E15" s="490"/>
      <c r="F15" s="490"/>
      <c r="G15" s="490"/>
      <c r="H15" s="490"/>
      <c r="I15" s="498">
        <f t="shared" si="2"/>
        <v>0</v>
      </c>
      <c r="J15" s="492"/>
      <c r="K15" s="493">
        <f t="shared" si="3"/>
        <v>0</v>
      </c>
      <c r="L15" s="492"/>
      <c r="M15" s="492"/>
      <c r="N15" s="492"/>
      <c r="O15" s="492"/>
      <c r="P15" s="692"/>
      <c r="Q15" s="13"/>
      <c r="R15" s="13"/>
      <c r="S15" s="13"/>
    </row>
    <row r="16" spans="1:41" s="8" customFormat="1" x14ac:dyDescent="0.3">
      <c r="A16" s="490"/>
      <c r="B16" s="491"/>
      <c r="C16" s="498">
        <f t="shared" si="1"/>
        <v>0</v>
      </c>
      <c r="D16" s="490"/>
      <c r="E16" s="490"/>
      <c r="F16" s="490"/>
      <c r="G16" s="490"/>
      <c r="H16" s="490"/>
      <c r="I16" s="498">
        <f t="shared" si="2"/>
        <v>0</v>
      </c>
      <c r="J16" s="492"/>
      <c r="K16" s="493">
        <f t="shared" si="3"/>
        <v>0</v>
      </c>
      <c r="L16" s="492"/>
      <c r="M16" s="492"/>
      <c r="N16" s="492"/>
      <c r="O16" s="492"/>
      <c r="P16" s="692"/>
      <c r="Q16" s="13"/>
      <c r="R16" s="13"/>
      <c r="S16" s="13"/>
    </row>
    <row r="17" spans="1:19" s="8" customFormat="1" x14ac:dyDescent="0.3">
      <c r="A17" s="490"/>
      <c r="B17" s="491"/>
      <c r="C17" s="498">
        <f t="shared" si="1"/>
        <v>0</v>
      </c>
      <c r="D17" s="490"/>
      <c r="E17" s="490"/>
      <c r="F17" s="490"/>
      <c r="G17" s="490"/>
      <c r="H17" s="490"/>
      <c r="I17" s="498">
        <f t="shared" si="2"/>
        <v>0</v>
      </c>
      <c r="J17" s="492"/>
      <c r="K17" s="493">
        <f t="shared" si="3"/>
        <v>0</v>
      </c>
      <c r="L17" s="492"/>
      <c r="M17" s="492"/>
      <c r="N17" s="492"/>
      <c r="O17" s="492"/>
      <c r="P17" s="692"/>
      <c r="Q17" s="13" t="str">
        <f>IFERROR(C17/$C$9,"N/A")</f>
        <v>N/A</v>
      </c>
      <c r="R17" s="13" t="str">
        <f>IFERROR(D17/$D$9,"N/A")</f>
        <v>N/A</v>
      </c>
      <c r="S17" s="13" t="str">
        <f>IFERROR(I17/$I$9,"N/A")</f>
        <v>N/A</v>
      </c>
    </row>
    <row r="18" spans="1:19" s="8" customFormat="1" x14ac:dyDescent="0.3">
      <c r="A18" s="490"/>
      <c r="B18" s="491"/>
      <c r="C18" s="498"/>
      <c r="D18" s="490"/>
      <c r="E18" s="490"/>
      <c r="F18" s="490"/>
      <c r="G18" s="490"/>
      <c r="H18" s="490"/>
      <c r="I18" s="498"/>
      <c r="J18" s="492"/>
      <c r="K18" s="493">
        <f t="shared" si="3"/>
        <v>0</v>
      </c>
      <c r="L18" s="492"/>
      <c r="M18" s="492"/>
      <c r="N18" s="492"/>
      <c r="O18" s="492"/>
      <c r="P18" s="693"/>
      <c r="Q18" s="13" t="str">
        <f>IFERROR(C18/$C$9,"N/A")</f>
        <v>N/A</v>
      </c>
      <c r="R18" s="13" t="str">
        <f>IFERROR(D18/$D$9,"N/A")</f>
        <v>N/A</v>
      </c>
      <c r="S18" s="13" t="str">
        <f>IFERROR(I18/$I$9,"N/A")</f>
        <v>N/A</v>
      </c>
    </row>
    <row r="19" spans="1:19" s="239" customFormat="1" ht="32.15" customHeight="1" x14ac:dyDescent="0.3">
      <c r="A19" s="521" t="s">
        <v>301</v>
      </c>
      <c r="B19" s="522"/>
      <c r="C19" s="523">
        <f>SUM(C20:C26)</f>
        <v>0</v>
      </c>
      <c r="D19" s="523">
        <f t="shared" ref="D19:H19" si="4">SUM(D20:D26)</f>
        <v>0</v>
      </c>
      <c r="E19" s="523">
        <f t="shared" si="4"/>
        <v>0</v>
      </c>
      <c r="F19" s="523">
        <f t="shared" si="4"/>
        <v>0</v>
      </c>
      <c r="G19" s="523">
        <f t="shared" si="4"/>
        <v>0</v>
      </c>
      <c r="H19" s="523">
        <f t="shared" si="4"/>
        <v>0</v>
      </c>
      <c r="I19" s="523">
        <f>SUM(I20:I26)</f>
        <v>0</v>
      </c>
      <c r="J19" s="524">
        <f>SUM(J20:J26)</f>
        <v>0</v>
      </c>
      <c r="K19" s="525">
        <f>SUM(C19:J19)</f>
        <v>0</v>
      </c>
      <c r="L19" s="632" t="s">
        <v>357</v>
      </c>
      <c r="M19" s="525" t="str">
        <f>I8</f>
        <v>n+6</v>
      </c>
      <c r="N19" s="632" t="s">
        <v>358</v>
      </c>
      <c r="O19" s="525" t="str">
        <f>I8</f>
        <v>n+6</v>
      </c>
      <c r="P19" s="694"/>
      <c r="Q19" s="526" t="str">
        <f>IF(SUM(Q20:Q27)=100%,"OK","!")</f>
        <v>!</v>
      </c>
      <c r="R19" s="526" t="str">
        <f t="shared" ref="R19:S19" si="5">IF(SUM(R20:R27)=100%,"OK","!")</f>
        <v>!</v>
      </c>
      <c r="S19" s="526" t="str">
        <f t="shared" si="5"/>
        <v>!</v>
      </c>
    </row>
    <row r="20" spans="1:19" s="8" customFormat="1" x14ac:dyDescent="0.3">
      <c r="A20" s="490" t="s">
        <v>390</v>
      </c>
      <c r="B20" s="494"/>
      <c r="C20" s="687">
        <f>L20*N20</f>
        <v>0</v>
      </c>
      <c r="D20" s="495"/>
      <c r="E20" s="495"/>
      <c r="F20" s="495"/>
      <c r="G20" s="495"/>
      <c r="H20" s="495"/>
      <c r="I20" s="687">
        <f>M20*O20</f>
        <v>0</v>
      </c>
      <c r="J20" s="492"/>
      <c r="K20" s="493">
        <f>SUM(C20:J20)</f>
        <v>0</v>
      </c>
      <c r="L20" s="686"/>
      <c r="M20" s="686"/>
      <c r="N20" s="493">
        <f t="shared" ref="N20:O27" si="6">N10</f>
        <v>0</v>
      </c>
      <c r="O20" s="493">
        <f t="shared" si="6"/>
        <v>0</v>
      </c>
      <c r="P20" s="692"/>
      <c r="Q20" s="13" t="str">
        <f t="shared" ref="Q20:Q27" si="7">IFERROR(C20/$C$19,"N/A")</f>
        <v>N/A</v>
      </c>
      <c r="R20" s="13" t="str">
        <f t="shared" ref="R20:R27" si="8">IFERROR(D20/$D$19,"N/A")</f>
        <v>N/A</v>
      </c>
      <c r="S20" s="13" t="str">
        <f t="shared" ref="S20:S27" si="9">IFERROR(I20/$I$19,"N/A")</f>
        <v>N/A</v>
      </c>
    </row>
    <row r="21" spans="1:19" s="8" customFormat="1" x14ac:dyDescent="0.3">
      <c r="A21" s="490" t="s">
        <v>391</v>
      </c>
      <c r="B21" s="494"/>
      <c r="C21" s="687">
        <f t="shared" ref="C21:C26" si="10">L21*N21</f>
        <v>0</v>
      </c>
      <c r="D21" s="495"/>
      <c r="E21" s="495"/>
      <c r="F21" s="495"/>
      <c r="G21" s="495"/>
      <c r="H21" s="495"/>
      <c r="I21" s="687">
        <f t="shared" ref="I21:I26" si="11">M21*O21</f>
        <v>0</v>
      </c>
      <c r="J21" s="492"/>
      <c r="K21" s="493">
        <f>SUM(C21:J21)</f>
        <v>0</v>
      </c>
      <c r="L21" s="686"/>
      <c r="M21" s="686"/>
      <c r="N21" s="493">
        <f t="shared" si="6"/>
        <v>0</v>
      </c>
      <c r="O21" s="493">
        <f t="shared" si="6"/>
        <v>0</v>
      </c>
      <c r="P21" s="692"/>
      <c r="Q21" s="13" t="str">
        <f t="shared" si="7"/>
        <v>N/A</v>
      </c>
      <c r="R21" s="13" t="str">
        <f t="shared" si="8"/>
        <v>N/A</v>
      </c>
      <c r="S21" s="13" t="str">
        <f t="shared" si="9"/>
        <v>N/A</v>
      </c>
    </row>
    <row r="22" spans="1:19" s="8" customFormat="1" x14ac:dyDescent="0.3">
      <c r="A22" s="490" t="s">
        <v>392</v>
      </c>
      <c r="B22" s="494"/>
      <c r="C22" s="687">
        <f t="shared" si="10"/>
        <v>0</v>
      </c>
      <c r="D22" s="495"/>
      <c r="E22" s="495"/>
      <c r="F22" s="495"/>
      <c r="G22" s="495"/>
      <c r="H22" s="495"/>
      <c r="I22" s="687">
        <f t="shared" si="11"/>
        <v>0</v>
      </c>
      <c r="J22" s="492"/>
      <c r="K22" s="493">
        <f t="shared" ref="K22:K27" si="12">SUM(C22:J22)</f>
        <v>0</v>
      </c>
      <c r="L22" s="686"/>
      <c r="M22" s="686"/>
      <c r="N22" s="493">
        <f t="shared" si="6"/>
        <v>0</v>
      </c>
      <c r="O22" s="493">
        <f t="shared" si="6"/>
        <v>0</v>
      </c>
      <c r="P22" s="692"/>
      <c r="Q22" s="13" t="str">
        <f t="shared" si="7"/>
        <v>N/A</v>
      </c>
      <c r="R22" s="13" t="str">
        <f t="shared" si="8"/>
        <v>N/A</v>
      </c>
      <c r="S22" s="13" t="str">
        <f t="shared" si="9"/>
        <v>N/A</v>
      </c>
    </row>
    <row r="23" spans="1:19" s="8" customFormat="1" x14ac:dyDescent="0.3">
      <c r="A23" s="490"/>
      <c r="B23" s="494"/>
      <c r="C23" s="687">
        <f t="shared" si="10"/>
        <v>0</v>
      </c>
      <c r="D23" s="495"/>
      <c r="E23" s="495"/>
      <c r="F23" s="495"/>
      <c r="G23" s="495"/>
      <c r="H23" s="495"/>
      <c r="I23" s="687">
        <f t="shared" si="11"/>
        <v>0</v>
      </c>
      <c r="J23" s="492"/>
      <c r="K23" s="493">
        <f t="shared" si="12"/>
        <v>0</v>
      </c>
      <c r="L23" s="686"/>
      <c r="M23" s="686"/>
      <c r="N23" s="493">
        <f t="shared" si="6"/>
        <v>0</v>
      </c>
      <c r="O23" s="493">
        <f t="shared" si="6"/>
        <v>0</v>
      </c>
      <c r="P23" s="692"/>
      <c r="Q23" s="13" t="str">
        <f t="shared" si="7"/>
        <v>N/A</v>
      </c>
      <c r="R23" s="13" t="str">
        <f t="shared" si="8"/>
        <v>N/A</v>
      </c>
      <c r="S23" s="13" t="str">
        <f t="shared" si="9"/>
        <v>N/A</v>
      </c>
    </row>
    <row r="24" spans="1:19" s="8" customFormat="1" x14ac:dyDescent="0.3">
      <c r="A24" s="490"/>
      <c r="B24" s="494"/>
      <c r="C24" s="687">
        <f t="shared" si="10"/>
        <v>0</v>
      </c>
      <c r="D24" s="495"/>
      <c r="E24" s="495"/>
      <c r="F24" s="495"/>
      <c r="G24" s="495"/>
      <c r="H24" s="495"/>
      <c r="I24" s="687">
        <f t="shared" si="11"/>
        <v>0</v>
      </c>
      <c r="J24" s="492"/>
      <c r="K24" s="493">
        <f t="shared" si="12"/>
        <v>0</v>
      </c>
      <c r="L24" s="686"/>
      <c r="M24" s="686"/>
      <c r="N24" s="493">
        <f t="shared" si="6"/>
        <v>0</v>
      </c>
      <c r="O24" s="493">
        <f t="shared" si="6"/>
        <v>0</v>
      </c>
      <c r="P24" s="692"/>
      <c r="Q24" s="13" t="str">
        <f t="shared" si="7"/>
        <v>N/A</v>
      </c>
      <c r="R24" s="13" t="str">
        <f t="shared" si="8"/>
        <v>N/A</v>
      </c>
      <c r="S24" s="13" t="str">
        <f t="shared" si="9"/>
        <v>N/A</v>
      </c>
    </row>
    <row r="25" spans="1:19" s="8" customFormat="1" x14ac:dyDescent="0.3">
      <c r="A25" s="490"/>
      <c r="B25" s="494"/>
      <c r="C25" s="687">
        <f t="shared" si="10"/>
        <v>0</v>
      </c>
      <c r="D25" s="495"/>
      <c r="E25" s="495"/>
      <c r="F25" s="495"/>
      <c r="G25" s="495"/>
      <c r="H25" s="495"/>
      <c r="I25" s="687">
        <f t="shared" si="11"/>
        <v>0</v>
      </c>
      <c r="J25" s="492"/>
      <c r="K25" s="493">
        <f t="shared" si="12"/>
        <v>0</v>
      </c>
      <c r="L25" s="686"/>
      <c r="M25" s="686"/>
      <c r="N25" s="493">
        <f t="shared" si="6"/>
        <v>0</v>
      </c>
      <c r="O25" s="493">
        <f t="shared" si="6"/>
        <v>0</v>
      </c>
      <c r="P25" s="692"/>
      <c r="Q25" s="13" t="str">
        <f t="shared" si="7"/>
        <v>N/A</v>
      </c>
      <c r="R25" s="13" t="str">
        <f t="shared" si="8"/>
        <v>N/A</v>
      </c>
      <c r="S25" s="13" t="str">
        <f t="shared" si="9"/>
        <v>N/A</v>
      </c>
    </row>
    <row r="26" spans="1:19" s="8" customFormat="1" x14ac:dyDescent="0.3">
      <c r="A26" s="490"/>
      <c r="B26" s="494"/>
      <c r="C26" s="687">
        <f t="shared" si="10"/>
        <v>0</v>
      </c>
      <c r="D26" s="495"/>
      <c r="E26" s="495"/>
      <c r="F26" s="495"/>
      <c r="G26" s="495"/>
      <c r="H26" s="495"/>
      <c r="I26" s="687">
        <f t="shared" si="11"/>
        <v>0</v>
      </c>
      <c r="J26" s="492"/>
      <c r="K26" s="493">
        <f t="shared" si="12"/>
        <v>0</v>
      </c>
      <c r="L26" s="686"/>
      <c r="M26" s="686"/>
      <c r="N26" s="493">
        <f t="shared" si="6"/>
        <v>0</v>
      </c>
      <c r="O26" s="493">
        <f t="shared" si="6"/>
        <v>0</v>
      </c>
      <c r="P26" s="692"/>
      <c r="Q26" s="13" t="str">
        <f t="shared" si="7"/>
        <v>N/A</v>
      </c>
      <c r="R26" s="13" t="str">
        <f t="shared" si="8"/>
        <v>N/A</v>
      </c>
      <c r="S26" s="13" t="str">
        <f t="shared" si="9"/>
        <v>N/A</v>
      </c>
    </row>
    <row r="27" spans="1:19" s="8" customFormat="1" x14ac:dyDescent="0.3">
      <c r="A27" s="490" t="s">
        <v>0</v>
      </c>
      <c r="B27" s="491"/>
      <c r="C27" s="496"/>
      <c r="D27" s="496"/>
      <c r="E27" s="496"/>
      <c r="F27" s="496"/>
      <c r="G27" s="496"/>
      <c r="H27" s="496"/>
      <c r="I27" s="496"/>
      <c r="J27" s="497"/>
      <c r="K27" s="493">
        <f t="shared" si="12"/>
        <v>0</v>
      </c>
      <c r="L27" s="493"/>
      <c r="M27" s="493"/>
      <c r="N27" s="493">
        <f t="shared" si="6"/>
        <v>0</v>
      </c>
      <c r="O27" s="493">
        <f t="shared" si="6"/>
        <v>0</v>
      </c>
      <c r="P27" s="693"/>
      <c r="Q27" s="13" t="str">
        <f t="shared" si="7"/>
        <v>N/A</v>
      </c>
      <c r="R27" s="13" t="str">
        <f t="shared" si="8"/>
        <v>N/A</v>
      </c>
      <c r="S27" s="13" t="str">
        <f t="shared" si="9"/>
        <v>N/A</v>
      </c>
    </row>
    <row r="28" spans="1:19" s="1" customFormat="1" ht="29.5" customHeight="1" x14ac:dyDescent="0.3">
      <c r="A28" s="527" t="s">
        <v>166</v>
      </c>
      <c r="B28" s="528"/>
      <c r="C28" s="529">
        <f t="shared" ref="C28:J28" si="13">C9-C19</f>
        <v>0</v>
      </c>
      <c r="D28" s="529">
        <f>D9-D19</f>
        <v>0</v>
      </c>
      <c r="E28" s="529">
        <f t="shared" si="13"/>
        <v>0</v>
      </c>
      <c r="F28" s="529">
        <f t="shared" si="13"/>
        <v>0</v>
      </c>
      <c r="G28" s="529">
        <f t="shared" si="13"/>
        <v>0</v>
      </c>
      <c r="H28" s="529">
        <f t="shared" si="13"/>
        <v>0</v>
      </c>
      <c r="I28" s="529">
        <f>I9-I19</f>
        <v>0</v>
      </c>
      <c r="J28" s="530">
        <f t="shared" si="13"/>
        <v>0</v>
      </c>
      <c r="K28" s="530">
        <f>SUM(C28:J28)</f>
        <v>0</v>
      </c>
      <c r="L28" s="530"/>
      <c r="M28" s="530"/>
      <c r="N28" s="530"/>
      <c r="O28" s="530"/>
      <c r="P28" s="695"/>
    </row>
    <row r="29" spans="1:19" s="8" customFormat="1" x14ac:dyDescent="0.3">
      <c r="A29" s="498" t="s">
        <v>284</v>
      </c>
      <c r="B29" s="499"/>
      <c r="C29" s="490"/>
      <c r="D29" s="490"/>
      <c r="E29" s="490"/>
      <c r="F29" s="490"/>
      <c r="G29" s="490"/>
      <c r="H29" s="490"/>
      <c r="I29" s="490"/>
      <c r="J29" s="492"/>
      <c r="K29" s="493">
        <f t="shared" ref="K29:K34" si="14">SUM(C29:J29)</f>
        <v>0</v>
      </c>
      <c r="L29" s="493"/>
      <c r="M29" s="493"/>
      <c r="N29" s="493"/>
      <c r="O29" s="493"/>
      <c r="P29" s="408"/>
      <c r="Q29" s="13"/>
      <c r="R29" s="13"/>
      <c r="S29" s="13"/>
    </row>
    <row r="30" spans="1:19" s="8" customFormat="1" x14ac:dyDescent="0.3">
      <c r="A30" s="498" t="s">
        <v>285</v>
      </c>
      <c r="B30" s="499"/>
      <c r="C30" s="490"/>
      <c r="D30" s="490"/>
      <c r="E30" s="490"/>
      <c r="F30" s="490"/>
      <c r="G30" s="490"/>
      <c r="H30" s="490"/>
      <c r="I30" s="490"/>
      <c r="J30" s="492"/>
      <c r="K30" s="493">
        <f t="shared" si="14"/>
        <v>0</v>
      </c>
      <c r="L30" s="493"/>
      <c r="M30" s="493"/>
      <c r="N30" s="493"/>
      <c r="O30" s="493"/>
      <c r="P30" s="408"/>
      <c r="Q30" s="13"/>
      <c r="R30" s="13"/>
      <c r="S30" s="13"/>
    </row>
    <row r="31" spans="1:19" s="1" customFormat="1" ht="29.5" customHeight="1" x14ac:dyDescent="0.3">
      <c r="A31" s="527" t="s">
        <v>224</v>
      </c>
      <c r="B31" s="528"/>
      <c r="C31" s="529">
        <f>C28-SUM(C29:C30)</f>
        <v>0</v>
      </c>
      <c r="D31" s="529">
        <f>D28-SUM(D29:D30)</f>
        <v>0</v>
      </c>
      <c r="E31" s="529">
        <f t="shared" ref="E31:J31" si="15">E28-SUM(E29:E30)</f>
        <v>0</v>
      </c>
      <c r="F31" s="529">
        <f t="shared" si="15"/>
        <v>0</v>
      </c>
      <c r="G31" s="529">
        <f>G28-SUM(G29:G30)</f>
        <v>0</v>
      </c>
      <c r="H31" s="529">
        <f t="shared" si="15"/>
        <v>0</v>
      </c>
      <c r="I31" s="529">
        <f t="shared" si="15"/>
        <v>0</v>
      </c>
      <c r="J31" s="530">
        <f t="shared" si="15"/>
        <v>0</v>
      </c>
      <c r="K31" s="530">
        <f t="shared" si="14"/>
        <v>0</v>
      </c>
      <c r="L31" s="530"/>
      <c r="M31" s="530"/>
      <c r="N31" s="530"/>
      <c r="O31" s="530"/>
      <c r="P31" s="695"/>
    </row>
    <row r="32" spans="1:19" s="225" customFormat="1" ht="31" x14ac:dyDescent="0.3">
      <c r="A32" s="342" t="s">
        <v>167</v>
      </c>
      <c r="B32" s="500" t="s">
        <v>286</v>
      </c>
      <c r="C32" s="501">
        <f>IFERROR(SUM(C33:C42),"N/A")</f>
        <v>0</v>
      </c>
      <c r="D32" s="501">
        <f>IFERROR(SUM(D33:D42),"N/A")</f>
        <v>0</v>
      </c>
      <c r="E32" s="501">
        <f t="shared" ref="E32:J32" si="16">IFERROR(SUM(E33:E42),"N/A")</f>
        <v>0</v>
      </c>
      <c r="F32" s="501">
        <f t="shared" si="16"/>
        <v>0</v>
      </c>
      <c r="G32" s="501">
        <f t="shared" si="16"/>
        <v>0</v>
      </c>
      <c r="H32" s="501">
        <f t="shared" si="16"/>
        <v>0</v>
      </c>
      <c r="I32" s="501">
        <f t="shared" si="16"/>
        <v>0</v>
      </c>
      <c r="J32" s="502">
        <f t="shared" si="16"/>
        <v>0</v>
      </c>
      <c r="K32" s="503">
        <f t="shared" si="14"/>
        <v>0</v>
      </c>
      <c r="L32" s="631"/>
      <c r="M32" s="631"/>
      <c r="N32" s="631"/>
      <c r="O32" s="631"/>
      <c r="P32" s="408"/>
      <c r="Q32" s="12" t="str">
        <f>IF(SUM(Q33:Q39)=100%,"OK","!")</f>
        <v>!</v>
      </c>
      <c r="R32" s="12" t="str">
        <f t="shared" ref="R32:S32" si="17">IF(SUM(R33:R39)=100%,"OK","!")</f>
        <v>!</v>
      </c>
      <c r="S32" s="12" t="str">
        <f t="shared" si="17"/>
        <v>!</v>
      </c>
    </row>
    <row r="33" spans="1:19" s="225" customFormat="1" x14ac:dyDescent="0.3">
      <c r="A33" s="498" t="s">
        <v>99</v>
      </c>
      <c r="B33" s="504"/>
      <c r="C33" s="490"/>
      <c r="D33" s="490"/>
      <c r="E33" s="490"/>
      <c r="F33" s="490"/>
      <c r="G33" s="490"/>
      <c r="H33" s="490"/>
      <c r="I33" s="490"/>
      <c r="J33" s="492"/>
      <c r="K33" s="493">
        <f t="shared" si="14"/>
        <v>0</v>
      </c>
      <c r="L33" s="493"/>
      <c r="M33" s="493"/>
      <c r="N33" s="493"/>
      <c r="O33" s="493"/>
      <c r="P33" s="408"/>
      <c r="Q33" s="13" t="str">
        <f>IFERROR(C33/$C$32,"N/A")</f>
        <v>N/A</v>
      </c>
      <c r="R33" s="13" t="str">
        <f t="shared" ref="R33:R39" si="18">IFERROR(D33/$D$32,"N/A")</f>
        <v>N/A</v>
      </c>
      <c r="S33" s="13" t="str">
        <f t="shared" ref="S33:S39" si="19">IFERROR(J33/$J$32,"N/A")</f>
        <v>N/A</v>
      </c>
    </row>
    <row r="34" spans="1:19" s="8" customFormat="1" x14ac:dyDescent="0.3">
      <c r="A34" s="498" t="s">
        <v>302</v>
      </c>
      <c r="B34" s="499"/>
      <c r="C34" s="490">
        <f>Finanzierung!E171</f>
        <v>0</v>
      </c>
      <c r="D34" s="490">
        <f>Finanzierung!F171</f>
        <v>0</v>
      </c>
      <c r="E34" s="490">
        <f>Finanzierung!G171</f>
        <v>0</v>
      </c>
      <c r="F34" s="490">
        <f>Finanzierung!H171</f>
        <v>0</v>
      </c>
      <c r="G34" s="490">
        <f>Finanzierung!I171</f>
        <v>0</v>
      </c>
      <c r="H34" s="490">
        <f>Finanzierung!J171</f>
        <v>0</v>
      </c>
      <c r="I34" s="490">
        <f>Finanzierung!K171</f>
        <v>0</v>
      </c>
      <c r="J34" s="492">
        <f>Finanzierung!L171</f>
        <v>0</v>
      </c>
      <c r="K34" s="493">
        <f t="shared" si="14"/>
        <v>0</v>
      </c>
      <c r="L34" s="493"/>
      <c r="M34" s="493"/>
      <c r="N34" s="493"/>
      <c r="O34" s="493"/>
      <c r="P34" s="408"/>
      <c r="Q34" s="13" t="str">
        <f t="shared" ref="Q34:Q39" si="20">IFERROR(C34/$C$32,"N/A")</f>
        <v>N/A</v>
      </c>
      <c r="R34" s="13" t="str">
        <f t="shared" si="18"/>
        <v>N/A</v>
      </c>
      <c r="S34" s="13" t="str">
        <f t="shared" si="19"/>
        <v>N/A</v>
      </c>
    </row>
    <row r="35" spans="1:19" s="8" customFormat="1" x14ac:dyDescent="0.3">
      <c r="A35" s="498" t="s">
        <v>150</v>
      </c>
      <c r="B35" s="499"/>
      <c r="C35" s="490"/>
      <c r="D35" s="490"/>
      <c r="E35" s="490"/>
      <c r="F35" s="490"/>
      <c r="G35" s="490"/>
      <c r="H35" s="490"/>
      <c r="I35" s="490"/>
      <c r="J35" s="492"/>
      <c r="K35" s="493">
        <f t="shared" ref="K35:K39" si="21">SUM(C35:J35)</f>
        <v>0</v>
      </c>
      <c r="L35" s="493"/>
      <c r="M35" s="493"/>
      <c r="N35" s="493"/>
      <c r="O35" s="493"/>
      <c r="P35" s="408"/>
      <c r="Q35" s="13" t="str">
        <f t="shared" si="20"/>
        <v>N/A</v>
      </c>
      <c r="R35" s="13" t="str">
        <f t="shared" si="18"/>
        <v>N/A</v>
      </c>
      <c r="S35" s="13" t="str">
        <f t="shared" si="19"/>
        <v>N/A</v>
      </c>
    </row>
    <row r="36" spans="1:19" s="8" customFormat="1" x14ac:dyDescent="0.3">
      <c r="A36" s="498" t="s">
        <v>129</v>
      </c>
      <c r="B36" s="499"/>
      <c r="C36" s="490"/>
      <c r="D36" s="490"/>
      <c r="E36" s="490"/>
      <c r="F36" s="490"/>
      <c r="G36" s="490"/>
      <c r="H36" s="490"/>
      <c r="I36" s="490"/>
      <c r="J36" s="492"/>
      <c r="K36" s="493">
        <f t="shared" si="21"/>
        <v>0</v>
      </c>
      <c r="L36" s="493"/>
      <c r="M36" s="493"/>
      <c r="N36" s="493"/>
      <c r="O36" s="493"/>
      <c r="P36" s="408"/>
      <c r="Q36" s="13" t="str">
        <f t="shared" si="20"/>
        <v>N/A</v>
      </c>
      <c r="R36" s="13" t="str">
        <f t="shared" si="18"/>
        <v>N/A</v>
      </c>
      <c r="S36" s="13" t="str">
        <f t="shared" si="19"/>
        <v>N/A</v>
      </c>
    </row>
    <row r="37" spans="1:19" s="8" customFormat="1" x14ac:dyDescent="0.3">
      <c r="A37" s="498" t="s">
        <v>135</v>
      </c>
      <c r="B37" s="499"/>
      <c r="C37" s="490"/>
      <c r="D37" s="490"/>
      <c r="E37" s="490"/>
      <c r="F37" s="490"/>
      <c r="G37" s="490"/>
      <c r="H37" s="490"/>
      <c r="I37" s="490"/>
      <c r="J37" s="492"/>
      <c r="K37" s="493">
        <f t="shared" si="21"/>
        <v>0</v>
      </c>
      <c r="L37" s="493"/>
      <c r="M37" s="493"/>
      <c r="N37" s="493"/>
      <c r="O37" s="493"/>
      <c r="P37" s="408"/>
      <c r="Q37" s="13" t="str">
        <f t="shared" si="20"/>
        <v>N/A</v>
      </c>
      <c r="R37" s="13" t="str">
        <f t="shared" si="18"/>
        <v>N/A</v>
      </c>
      <c r="S37" s="13" t="str">
        <f t="shared" si="19"/>
        <v>N/A</v>
      </c>
    </row>
    <row r="38" spans="1:19" s="8" customFormat="1" x14ac:dyDescent="0.3">
      <c r="A38" s="498" t="s">
        <v>153</v>
      </c>
      <c r="B38" s="499"/>
      <c r="C38" s="490"/>
      <c r="D38" s="490"/>
      <c r="E38" s="490"/>
      <c r="F38" s="490"/>
      <c r="G38" s="490"/>
      <c r="H38" s="490"/>
      <c r="I38" s="490"/>
      <c r="J38" s="492"/>
      <c r="K38" s="493">
        <f t="shared" si="21"/>
        <v>0</v>
      </c>
      <c r="L38" s="493"/>
      <c r="M38" s="493"/>
      <c r="N38" s="493"/>
      <c r="O38" s="493"/>
      <c r="P38" s="408"/>
      <c r="Q38" s="13" t="str">
        <f t="shared" si="20"/>
        <v>N/A</v>
      </c>
      <c r="R38" s="13" t="str">
        <f t="shared" si="18"/>
        <v>N/A</v>
      </c>
      <c r="S38" s="13" t="str">
        <f t="shared" si="19"/>
        <v>N/A</v>
      </c>
    </row>
    <row r="39" spans="1:19" s="8" customFormat="1" x14ac:dyDescent="0.3">
      <c r="A39" s="498" t="s">
        <v>127</v>
      </c>
      <c r="B39" s="499"/>
      <c r="C39" s="490"/>
      <c r="D39" s="490"/>
      <c r="E39" s="490"/>
      <c r="F39" s="490"/>
      <c r="G39" s="490"/>
      <c r="H39" s="490"/>
      <c r="I39" s="490"/>
      <c r="J39" s="492"/>
      <c r="K39" s="493">
        <f t="shared" si="21"/>
        <v>0</v>
      </c>
      <c r="L39" s="493"/>
      <c r="M39" s="493"/>
      <c r="N39" s="493"/>
      <c r="O39" s="493"/>
      <c r="P39" s="408"/>
      <c r="Q39" s="13" t="str">
        <f t="shared" si="20"/>
        <v>N/A</v>
      </c>
      <c r="R39" s="13" t="str">
        <f t="shared" si="18"/>
        <v>N/A</v>
      </c>
      <c r="S39" s="13" t="str">
        <f t="shared" si="19"/>
        <v>N/A</v>
      </c>
    </row>
    <row r="40" spans="1:19" s="8" customFormat="1" x14ac:dyDescent="0.3">
      <c r="A40" s="498"/>
      <c r="B40" s="499"/>
      <c r="C40" s="490"/>
      <c r="D40" s="490"/>
      <c r="E40" s="490"/>
      <c r="F40" s="490"/>
      <c r="G40" s="490"/>
      <c r="H40" s="490"/>
      <c r="I40" s="490"/>
      <c r="J40" s="492"/>
      <c r="K40" s="493"/>
      <c r="L40" s="493"/>
      <c r="M40" s="493"/>
      <c r="N40" s="493"/>
      <c r="O40" s="493"/>
      <c r="P40" s="408"/>
      <c r="Q40" s="13"/>
      <c r="R40" s="13"/>
      <c r="S40" s="13"/>
    </row>
    <row r="41" spans="1:19" s="8" customFormat="1" x14ac:dyDescent="0.3">
      <c r="A41" s="498"/>
      <c r="B41" s="499"/>
      <c r="C41" s="490"/>
      <c r="D41" s="490"/>
      <c r="E41" s="490"/>
      <c r="F41" s="490"/>
      <c r="G41" s="490"/>
      <c r="H41" s="490"/>
      <c r="I41" s="490"/>
      <c r="J41" s="492"/>
      <c r="K41" s="493"/>
      <c r="L41" s="493"/>
      <c r="M41" s="493"/>
      <c r="N41" s="493"/>
      <c r="O41" s="493"/>
      <c r="P41" s="408"/>
      <c r="Q41" s="13"/>
      <c r="R41" s="13"/>
      <c r="S41" s="13"/>
    </row>
    <row r="42" spans="1:19" s="8" customFormat="1" x14ac:dyDescent="0.3">
      <c r="A42" s="498"/>
      <c r="B42" s="499"/>
      <c r="C42" s="490"/>
      <c r="D42" s="490"/>
      <c r="E42" s="490"/>
      <c r="F42" s="490"/>
      <c r="G42" s="490"/>
      <c r="H42" s="490"/>
      <c r="I42" s="490"/>
      <c r="J42" s="492"/>
      <c r="K42" s="493"/>
      <c r="L42" s="493"/>
      <c r="M42" s="493"/>
      <c r="N42" s="493"/>
      <c r="O42" s="493"/>
      <c r="P42" s="408"/>
      <c r="Q42" s="13"/>
      <c r="R42" s="13"/>
      <c r="S42" s="13"/>
    </row>
    <row r="43" spans="1:19" s="1" customFormat="1" ht="29.5" customHeight="1" x14ac:dyDescent="0.3">
      <c r="A43" s="527" t="s">
        <v>303</v>
      </c>
      <c r="B43" s="528"/>
      <c r="C43" s="529">
        <f>C31-C32</f>
        <v>0</v>
      </c>
      <c r="D43" s="529">
        <f>D31-D32</f>
        <v>0</v>
      </c>
      <c r="E43" s="529">
        <f t="shared" ref="E43:J43" si="22">E31-E32</f>
        <v>0</v>
      </c>
      <c r="F43" s="529">
        <f t="shared" si="22"/>
        <v>0</v>
      </c>
      <c r="G43" s="529">
        <f t="shared" si="22"/>
        <v>0</v>
      </c>
      <c r="H43" s="529">
        <f>H31-H32</f>
        <v>0</v>
      </c>
      <c r="I43" s="529">
        <f t="shared" si="22"/>
        <v>0</v>
      </c>
      <c r="J43" s="530">
        <f t="shared" si="22"/>
        <v>0</v>
      </c>
      <c r="K43" s="530">
        <f t="shared" ref="K43:K50" si="23">SUM(C43:J43)</f>
        <v>0</v>
      </c>
      <c r="L43" s="530"/>
      <c r="M43" s="530"/>
      <c r="N43" s="530"/>
      <c r="O43" s="530"/>
      <c r="P43" s="695"/>
    </row>
    <row r="44" spans="1:19" s="8" customFormat="1" x14ac:dyDescent="0.3">
      <c r="A44" s="498" t="s">
        <v>9</v>
      </c>
      <c r="B44" s="491"/>
      <c r="C44" s="505">
        <f>Finanzierung!E170</f>
        <v>0</v>
      </c>
      <c r="D44" s="505">
        <f>Finanzierung!F170</f>
        <v>0</v>
      </c>
      <c r="E44" s="505">
        <f>Finanzierung!G170</f>
        <v>0</v>
      </c>
      <c r="F44" s="505">
        <f>Finanzierung!H170</f>
        <v>0</v>
      </c>
      <c r="G44" s="505">
        <f>Finanzierung!I170</f>
        <v>0</v>
      </c>
      <c r="H44" s="505">
        <f>Finanzierung!J170</f>
        <v>0</v>
      </c>
      <c r="I44" s="505">
        <f>Finanzierung!K170</f>
        <v>0</v>
      </c>
      <c r="J44" s="587">
        <f>Finanzierung!L170</f>
        <v>0</v>
      </c>
      <c r="K44" s="506">
        <f t="shared" si="23"/>
        <v>0</v>
      </c>
      <c r="L44" s="508"/>
      <c r="M44" s="508"/>
      <c r="N44" s="508"/>
      <c r="O44" s="508"/>
      <c r="P44" s="408"/>
    </row>
    <row r="45" spans="1:19" s="1" customFormat="1" ht="29.5" customHeight="1" x14ac:dyDescent="0.3">
      <c r="A45" s="527" t="s">
        <v>304</v>
      </c>
      <c r="B45" s="528"/>
      <c r="C45" s="529">
        <f>C43-C44</f>
        <v>0</v>
      </c>
      <c r="D45" s="529">
        <f t="shared" ref="D45:J45" si="24">D43-D44</f>
        <v>0</v>
      </c>
      <c r="E45" s="529">
        <f t="shared" si="24"/>
        <v>0</v>
      </c>
      <c r="F45" s="529">
        <f t="shared" si="24"/>
        <v>0</v>
      </c>
      <c r="G45" s="529">
        <f t="shared" si="24"/>
        <v>0</v>
      </c>
      <c r="H45" s="529">
        <f t="shared" si="24"/>
        <v>0</v>
      </c>
      <c r="I45" s="529">
        <f t="shared" ref="I45" si="25">I43-I44</f>
        <v>0</v>
      </c>
      <c r="J45" s="530">
        <f t="shared" si="24"/>
        <v>0</v>
      </c>
      <c r="K45" s="530">
        <f t="shared" si="23"/>
        <v>0</v>
      </c>
      <c r="L45" s="530"/>
      <c r="M45" s="530"/>
      <c r="N45" s="530"/>
      <c r="O45" s="530"/>
      <c r="P45" s="695"/>
    </row>
    <row r="46" spans="1:19" s="8" customFormat="1" ht="15.65" customHeight="1" x14ac:dyDescent="0.3">
      <c r="A46" s="498" t="s">
        <v>11</v>
      </c>
      <c r="B46" s="491"/>
      <c r="C46" s="507">
        <f>IFERROR(Finanzierung!E172,"N/A")</f>
        <v>0</v>
      </c>
      <c r="D46" s="507">
        <f>IFERROR(Finanzierung!F172,"N/A")</f>
        <v>0</v>
      </c>
      <c r="E46" s="507">
        <f>IFERROR(Finanzierung!G172,"N/A")</f>
        <v>0</v>
      </c>
      <c r="F46" s="507">
        <f>IFERROR(Finanzierung!H172,"N/A")</f>
        <v>0</v>
      </c>
      <c r="G46" s="507">
        <f>IFERROR(Finanzierung!I172,"N/A")</f>
        <v>0</v>
      </c>
      <c r="H46" s="507">
        <f>IFERROR(Finanzierung!J172,"N/A")</f>
        <v>0</v>
      </c>
      <c r="I46" s="507">
        <f>IFERROR(Finanzierung!K172,"N/A")</f>
        <v>0</v>
      </c>
      <c r="J46" s="507">
        <f>IFERROR(Finanzierung!L172,"N/A")</f>
        <v>0</v>
      </c>
      <c r="K46" s="508">
        <f t="shared" si="23"/>
        <v>0</v>
      </c>
      <c r="L46" s="508"/>
      <c r="M46" s="508"/>
      <c r="N46" s="508"/>
      <c r="O46" s="508"/>
      <c r="P46" s="408"/>
    </row>
    <row r="47" spans="1:19" s="8" customFormat="1" x14ac:dyDescent="0.3">
      <c r="A47" s="498" t="s">
        <v>12</v>
      </c>
      <c r="B47" s="491"/>
      <c r="C47" s="509">
        <v>0</v>
      </c>
      <c r="D47" s="509">
        <v>0</v>
      </c>
      <c r="E47" s="509">
        <v>0</v>
      </c>
      <c r="F47" s="509">
        <v>0</v>
      </c>
      <c r="G47" s="509">
        <v>0</v>
      </c>
      <c r="H47" s="509">
        <v>0</v>
      </c>
      <c r="I47" s="509">
        <v>0</v>
      </c>
      <c r="J47" s="497">
        <v>0</v>
      </c>
      <c r="K47" s="493">
        <f t="shared" si="23"/>
        <v>0</v>
      </c>
      <c r="L47" s="493"/>
      <c r="M47" s="493"/>
      <c r="N47" s="493"/>
      <c r="O47" s="493"/>
      <c r="P47" s="408"/>
    </row>
    <row r="48" spans="1:19" s="8" customFormat="1" x14ac:dyDescent="0.3">
      <c r="A48" s="498" t="s">
        <v>44</v>
      </c>
      <c r="B48" s="491"/>
      <c r="C48" s="495">
        <v>0</v>
      </c>
      <c r="D48" s="495">
        <v>0</v>
      </c>
      <c r="E48" s="495">
        <v>0</v>
      </c>
      <c r="F48" s="495">
        <v>0</v>
      </c>
      <c r="G48" s="495">
        <v>0</v>
      </c>
      <c r="H48" s="495">
        <v>0</v>
      </c>
      <c r="I48" s="495">
        <v>0</v>
      </c>
      <c r="J48" s="492">
        <v>0</v>
      </c>
      <c r="K48" s="493">
        <f t="shared" si="23"/>
        <v>0</v>
      </c>
      <c r="L48" s="493"/>
      <c r="M48" s="493"/>
      <c r="N48" s="493"/>
      <c r="O48" s="493"/>
      <c r="P48" s="408"/>
    </row>
    <row r="49" spans="1:17" s="8" customFormat="1" x14ac:dyDescent="0.3">
      <c r="A49" s="498" t="s">
        <v>131</v>
      </c>
      <c r="B49" s="491"/>
      <c r="C49" s="495">
        <v>0</v>
      </c>
      <c r="D49" s="495">
        <v>0</v>
      </c>
      <c r="E49" s="495">
        <v>0</v>
      </c>
      <c r="F49" s="495">
        <v>0</v>
      </c>
      <c r="G49" s="495">
        <v>0</v>
      </c>
      <c r="H49" s="495">
        <v>0</v>
      </c>
      <c r="I49" s="495">
        <v>0</v>
      </c>
      <c r="J49" s="492">
        <v>0</v>
      </c>
      <c r="K49" s="493">
        <f t="shared" si="23"/>
        <v>0</v>
      </c>
      <c r="L49" s="493"/>
      <c r="M49" s="493"/>
      <c r="N49" s="493"/>
      <c r="O49" s="493"/>
      <c r="P49" s="408"/>
    </row>
    <row r="50" spans="1:17" s="1" customFormat="1" ht="29.5" customHeight="1" x14ac:dyDescent="0.3">
      <c r="A50" s="527" t="s">
        <v>305</v>
      </c>
      <c r="B50" s="528"/>
      <c r="C50" s="529">
        <f>C45-C46+C47+C49-C48</f>
        <v>0</v>
      </c>
      <c r="D50" s="529">
        <f t="shared" ref="D50:J50" si="26">D45-D46+D47+D49-D48</f>
        <v>0</v>
      </c>
      <c r="E50" s="529">
        <f t="shared" si="26"/>
        <v>0</v>
      </c>
      <c r="F50" s="529">
        <f t="shared" si="26"/>
        <v>0</v>
      </c>
      <c r="G50" s="529">
        <f t="shared" si="26"/>
        <v>0</v>
      </c>
      <c r="H50" s="529">
        <f t="shared" si="26"/>
        <v>0</v>
      </c>
      <c r="I50" s="529">
        <f t="shared" si="26"/>
        <v>0</v>
      </c>
      <c r="J50" s="530">
        <f t="shared" si="26"/>
        <v>0</v>
      </c>
      <c r="K50" s="530">
        <f t="shared" si="23"/>
        <v>0</v>
      </c>
      <c r="L50" s="530"/>
      <c r="M50" s="530"/>
      <c r="N50" s="530"/>
      <c r="O50" s="530"/>
      <c r="P50" s="695"/>
    </row>
    <row r="51" spans="1:17" s="8" customFormat="1" x14ac:dyDescent="0.3">
      <c r="A51" s="104" t="s">
        <v>13</v>
      </c>
      <c r="B51" s="491"/>
      <c r="C51" s="490"/>
      <c r="D51" s="490"/>
      <c r="E51" s="490"/>
      <c r="F51" s="490"/>
      <c r="G51" s="490"/>
      <c r="H51" s="490"/>
      <c r="I51" s="490"/>
      <c r="J51" s="492"/>
      <c r="K51" s="493"/>
      <c r="L51" s="493"/>
      <c r="M51" s="493"/>
      <c r="N51" s="493"/>
      <c r="O51" s="493"/>
      <c r="P51" s="408"/>
    </row>
    <row r="52" spans="1:17" s="1" customFormat="1" ht="29.5" customHeight="1" x14ac:dyDescent="0.3">
      <c r="A52" s="527" t="s">
        <v>62</v>
      </c>
      <c r="B52" s="528"/>
      <c r="C52" s="529">
        <f t="shared" ref="C52:J52" si="27">C50-C51</f>
        <v>0</v>
      </c>
      <c r="D52" s="529">
        <f t="shared" si="27"/>
        <v>0</v>
      </c>
      <c r="E52" s="529">
        <f t="shared" si="27"/>
        <v>0</v>
      </c>
      <c r="F52" s="529">
        <f t="shared" si="27"/>
        <v>0</v>
      </c>
      <c r="G52" s="529">
        <f t="shared" si="27"/>
        <v>0</v>
      </c>
      <c r="H52" s="529">
        <f t="shared" si="27"/>
        <v>0</v>
      </c>
      <c r="I52" s="529">
        <f t="shared" ref="I52" si="28">I50-I51</f>
        <v>0</v>
      </c>
      <c r="J52" s="530">
        <f t="shared" si="27"/>
        <v>0</v>
      </c>
      <c r="K52" s="530">
        <f>SUM(C52:J52)</f>
        <v>0</v>
      </c>
      <c r="L52" s="530"/>
      <c r="M52" s="530"/>
      <c r="N52" s="530"/>
      <c r="O52" s="530"/>
      <c r="P52" s="695"/>
    </row>
    <row r="53" spans="1:17" s="1" customFormat="1" ht="29.5" customHeight="1" x14ac:dyDescent="0.3">
      <c r="A53" s="527" t="s">
        <v>61</v>
      </c>
      <c r="B53" s="528"/>
      <c r="C53" s="529">
        <f>C52</f>
        <v>0</v>
      </c>
      <c r="D53" s="529">
        <f t="shared" ref="D53:I53" si="29">C53+D52</f>
        <v>0</v>
      </c>
      <c r="E53" s="529">
        <f t="shared" si="29"/>
        <v>0</v>
      </c>
      <c r="F53" s="529">
        <f t="shared" si="29"/>
        <v>0</v>
      </c>
      <c r="G53" s="529">
        <f t="shared" si="29"/>
        <v>0</v>
      </c>
      <c r="H53" s="529">
        <f t="shared" si="29"/>
        <v>0</v>
      </c>
      <c r="I53" s="529">
        <f t="shared" si="29"/>
        <v>0</v>
      </c>
      <c r="J53" s="530">
        <f>H53+J52</f>
        <v>0</v>
      </c>
      <c r="K53" s="530"/>
      <c r="L53" s="530"/>
      <c r="M53" s="530"/>
      <c r="N53" s="530"/>
      <c r="O53" s="530"/>
      <c r="P53" s="695"/>
    </row>
    <row r="54" spans="1:17" s="8" customFormat="1" x14ac:dyDescent="0.3">
      <c r="A54" s="104"/>
      <c r="B54" s="104"/>
      <c r="C54" s="510"/>
      <c r="D54" s="510"/>
      <c r="E54" s="510"/>
      <c r="F54" s="510"/>
      <c r="G54" s="510"/>
      <c r="H54" s="510"/>
      <c r="I54" s="509"/>
      <c r="P54" s="406"/>
    </row>
    <row r="55" spans="1:17" s="14" customFormat="1" hidden="1" x14ac:dyDescent="0.35">
      <c r="A55" s="511" t="s">
        <v>114</v>
      </c>
      <c r="B55" s="512" t="s">
        <v>151</v>
      </c>
      <c r="C55" s="512"/>
      <c r="D55" s="512"/>
      <c r="E55" s="512"/>
      <c r="F55" s="512"/>
      <c r="G55" s="512"/>
      <c r="H55" s="512"/>
      <c r="I55" s="512"/>
      <c r="J55" s="512"/>
      <c r="P55" s="519"/>
      <c r="Q55" s="9"/>
    </row>
    <row r="56" spans="1:17" s="14" customFormat="1" hidden="1" x14ac:dyDescent="0.35">
      <c r="A56" s="14" t="s">
        <v>168</v>
      </c>
      <c r="B56" s="513">
        <v>0</v>
      </c>
      <c r="C56" s="514">
        <f>(C9+C9*$B$56)</f>
        <v>0</v>
      </c>
      <c r="D56" s="514">
        <f t="shared" ref="D56:J56" si="30">(D9+D9*$B$56)</f>
        <v>0</v>
      </c>
      <c r="E56" s="514">
        <f t="shared" si="30"/>
        <v>0</v>
      </c>
      <c r="F56" s="514">
        <f t="shared" si="30"/>
        <v>0</v>
      </c>
      <c r="G56" s="514">
        <f t="shared" si="30"/>
        <v>0</v>
      </c>
      <c r="H56" s="514">
        <f t="shared" si="30"/>
        <v>0</v>
      </c>
      <c r="I56" s="514">
        <f t="shared" si="30"/>
        <v>0</v>
      </c>
      <c r="J56" s="514">
        <f t="shared" si="30"/>
        <v>0</v>
      </c>
      <c r="P56" s="519"/>
      <c r="Q56" s="9"/>
    </row>
    <row r="57" spans="1:17" s="14" customFormat="1" hidden="1" x14ac:dyDescent="0.35">
      <c r="A57" s="14" t="s">
        <v>152</v>
      </c>
      <c r="B57" s="513">
        <v>0</v>
      </c>
      <c r="C57" s="514">
        <f t="shared" ref="C57:J57" si="31">C19+C19*$B$57</f>
        <v>0</v>
      </c>
      <c r="D57" s="514">
        <f t="shared" si="31"/>
        <v>0</v>
      </c>
      <c r="E57" s="514">
        <f t="shared" si="31"/>
        <v>0</v>
      </c>
      <c r="F57" s="514">
        <f t="shared" si="31"/>
        <v>0</v>
      </c>
      <c r="G57" s="514">
        <f t="shared" si="31"/>
        <v>0</v>
      </c>
      <c r="H57" s="514">
        <f t="shared" si="31"/>
        <v>0</v>
      </c>
      <c r="I57" s="514">
        <f t="shared" si="31"/>
        <v>0</v>
      </c>
      <c r="J57" s="514">
        <f t="shared" si="31"/>
        <v>0</v>
      </c>
      <c r="P57" s="519"/>
      <c r="Q57" s="9"/>
    </row>
    <row r="58" spans="1:17" s="14" customFormat="1" hidden="1" x14ac:dyDescent="0.35">
      <c r="A58" s="14" t="s">
        <v>149</v>
      </c>
      <c r="B58" s="513">
        <v>0</v>
      </c>
      <c r="C58" s="514">
        <f t="shared" ref="C58:J58" si="32">C29+C29*$B$58</f>
        <v>0</v>
      </c>
      <c r="D58" s="514">
        <f t="shared" si="32"/>
        <v>0</v>
      </c>
      <c r="E58" s="514">
        <f t="shared" si="32"/>
        <v>0</v>
      </c>
      <c r="F58" s="514">
        <f t="shared" si="32"/>
        <v>0</v>
      </c>
      <c r="G58" s="514">
        <f t="shared" si="32"/>
        <v>0</v>
      </c>
      <c r="H58" s="514">
        <f t="shared" si="32"/>
        <v>0</v>
      </c>
      <c r="I58" s="514">
        <f t="shared" si="32"/>
        <v>0</v>
      </c>
      <c r="J58" s="514">
        <f t="shared" si="32"/>
        <v>0</v>
      </c>
      <c r="P58" s="519"/>
      <c r="Q58" s="9"/>
    </row>
    <row r="59" spans="1:17" s="14" customFormat="1" hidden="1" x14ac:dyDescent="0.35">
      <c r="A59" s="14" t="s">
        <v>235</v>
      </c>
      <c r="B59" s="513">
        <v>0</v>
      </c>
      <c r="C59" s="514">
        <f>C32+C32*$B$59</f>
        <v>0</v>
      </c>
      <c r="D59" s="514">
        <f t="shared" ref="D59:J59" si="33">D32+D32*$B$59</f>
        <v>0</v>
      </c>
      <c r="E59" s="514">
        <f t="shared" si="33"/>
        <v>0</v>
      </c>
      <c r="F59" s="514">
        <f t="shared" si="33"/>
        <v>0</v>
      </c>
      <c r="G59" s="514">
        <f t="shared" si="33"/>
        <v>0</v>
      </c>
      <c r="H59" s="514">
        <f t="shared" si="33"/>
        <v>0</v>
      </c>
      <c r="I59" s="514">
        <f t="shared" si="33"/>
        <v>0</v>
      </c>
      <c r="J59" s="514">
        <f t="shared" si="33"/>
        <v>0</v>
      </c>
      <c r="P59" s="519"/>
      <c r="Q59" s="9"/>
    </row>
    <row r="60" spans="1:17" s="14" customFormat="1" ht="16" hidden="1" thickBot="1" x14ac:dyDescent="0.4">
      <c r="A60" s="515" t="s">
        <v>62</v>
      </c>
      <c r="B60" s="516"/>
      <c r="C60" s="517">
        <f>C56-C57-C58-C59-C44-C46+C47-C48+C49-C51</f>
        <v>0</v>
      </c>
      <c r="D60" s="517">
        <f t="shared" ref="D60:J60" si="34">D56-D57-D58-D59-D44-D46+D47-D48+D49-D51</f>
        <v>0</v>
      </c>
      <c r="E60" s="517">
        <f t="shared" si="34"/>
        <v>0</v>
      </c>
      <c r="F60" s="517">
        <f t="shared" si="34"/>
        <v>0</v>
      </c>
      <c r="G60" s="517">
        <f t="shared" si="34"/>
        <v>0</v>
      </c>
      <c r="H60" s="517">
        <f t="shared" si="34"/>
        <v>0</v>
      </c>
      <c r="I60" s="517">
        <f t="shared" ref="I60" si="35">I56-I57-I58-I59-I44-I46+I47-I48+I49-I51</f>
        <v>0</v>
      </c>
      <c r="J60" s="517">
        <f t="shared" si="34"/>
        <v>0</v>
      </c>
      <c r="P60" s="519"/>
      <c r="Q60" s="9"/>
    </row>
    <row r="61" spans="1:17" x14ac:dyDescent="0.35">
      <c r="P61" s="520"/>
    </row>
  </sheetData>
  <sheetProtection sheet="1" insertColumns="0" insertRows="0" insertHyperlinks="0"/>
  <mergeCells count="2">
    <mergeCell ref="B2:C2"/>
    <mergeCell ref="A4:P4"/>
  </mergeCells>
  <pageMargins left="0.7" right="0.7" top="0.78740157499999996" bottom="0.78740157499999996" header="0.3" footer="0.3"/>
  <pageSetup paperSize="9" scale="40" orientation="landscape" r:id="rId1"/>
  <ignoredErrors>
    <ignoredError sqref="Q9:S42 B2 K9:K18 D9:J9 C34:J34 K29:K49 K20:K27"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H173"/>
  <sheetViews>
    <sheetView showGridLines="0" topLeftCell="A50" zoomScale="85" zoomScaleNormal="85" zoomScaleSheetLayoutView="70" zoomScalePageLayoutView="10" workbookViewId="0">
      <selection activeCell="A5" sqref="A5:O5"/>
    </sheetView>
  </sheetViews>
  <sheetFormatPr baseColWidth="10" defaultColWidth="11" defaultRowHeight="15.5" outlineLevelRow="1" outlineLevelCol="1" x14ac:dyDescent="0.35"/>
  <cols>
    <col min="1" max="1" width="48.58203125" style="4" customWidth="1"/>
    <col min="2" max="2" width="30.08203125" style="4" bestFit="1" customWidth="1"/>
    <col min="3" max="3" width="10.33203125" style="4" customWidth="1"/>
    <col min="4" max="4" width="8" style="4" customWidth="1"/>
    <col min="5" max="5" width="12.25" style="4" customWidth="1"/>
    <col min="6" max="10" width="12.25" style="4" customWidth="1" outlineLevel="1"/>
    <col min="11" max="11" width="12.25" style="4" customWidth="1"/>
    <col min="12" max="12" width="13.58203125" style="4" customWidth="1"/>
    <col min="13" max="14" width="13.5" style="4" customWidth="1"/>
    <col min="15" max="15" width="11.83203125" style="4" customWidth="1"/>
    <col min="16" max="16384" width="11" style="4"/>
  </cols>
  <sheetData>
    <row r="1" spans="1:34" s="480" customFormat="1" ht="27.65" customHeight="1" x14ac:dyDescent="0.3">
      <c r="A1" s="477" t="s">
        <v>405</v>
      </c>
      <c r="B1" s="478"/>
      <c r="C1" s="478"/>
      <c r="D1" s="478"/>
      <c r="E1" s="478"/>
      <c r="F1" s="478"/>
      <c r="G1" s="478"/>
      <c r="H1" s="478"/>
      <c r="I1" s="478"/>
      <c r="J1" s="478"/>
      <c r="K1" s="478"/>
      <c r="L1" s="478"/>
      <c r="M1" s="478"/>
      <c r="N1" s="478"/>
      <c r="O1" s="478"/>
      <c r="P1" s="478"/>
      <c r="Q1" s="478"/>
      <c r="R1" s="478"/>
      <c r="S1" s="478"/>
      <c r="T1" s="478"/>
      <c r="U1" s="478"/>
      <c r="V1" s="478"/>
      <c r="W1" s="478"/>
      <c r="X1" s="479"/>
      <c r="Y1" s="478"/>
      <c r="Z1" s="478"/>
      <c r="AA1" s="478"/>
      <c r="AB1" s="478"/>
      <c r="AC1" s="478"/>
      <c r="AD1" s="478"/>
      <c r="AE1" s="478"/>
    </row>
    <row r="2" spans="1:34" s="78" customFormat="1" ht="30.65" customHeight="1" x14ac:dyDescent="0.35">
      <c r="A2" s="75" t="s">
        <v>75</v>
      </c>
      <c r="B2" s="76" t="str">
        <f>IF('Übersicht TP '!B2=0,"",'Übersicht TP '!B2)</f>
        <v/>
      </c>
      <c r="C2" s="77"/>
      <c r="E2" s="79" t="s">
        <v>10</v>
      </c>
      <c r="F2" s="80"/>
      <c r="G2" s="77"/>
      <c r="H2" s="77"/>
      <c r="I2" s="77"/>
      <c r="J2" s="77"/>
      <c r="K2" s="77"/>
      <c r="P2" s="4"/>
      <c r="Q2" s="4"/>
      <c r="R2" s="4"/>
      <c r="S2" s="4"/>
      <c r="T2" s="4"/>
      <c r="U2" s="4"/>
      <c r="V2" s="4"/>
      <c r="W2" s="4"/>
      <c r="X2" s="4"/>
      <c r="Y2" s="4"/>
      <c r="Z2" s="4"/>
      <c r="AA2" s="4"/>
      <c r="AB2" s="4"/>
      <c r="AC2" s="4"/>
      <c r="AD2" s="4"/>
    </row>
    <row r="3" spans="1:34" s="81" customFormat="1" ht="12.65" customHeight="1" x14ac:dyDescent="0.35">
      <c r="A3" s="79"/>
      <c r="B3" s="76"/>
      <c r="C3" s="77"/>
      <c r="E3" s="76"/>
      <c r="F3" s="77"/>
      <c r="G3" s="77"/>
      <c r="H3" s="77"/>
      <c r="I3" s="77"/>
      <c r="J3" s="77"/>
      <c r="K3" s="77"/>
      <c r="M3" s="79"/>
      <c r="N3" s="79"/>
      <c r="P3" s="4"/>
      <c r="Q3" s="4"/>
      <c r="R3" s="4"/>
      <c r="S3" s="4"/>
      <c r="T3" s="4"/>
      <c r="U3" s="4"/>
      <c r="V3" s="4"/>
      <c r="W3" s="4"/>
      <c r="X3" s="4"/>
      <c r="Y3" s="4"/>
      <c r="Z3" s="4"/>
      <c r="AA3" s="4"/>
      <c r="AB3" s="4"/>
      <c r="AC3" s="4"/>
      <c r="AD3" s="4"/>
    </row>
    <row r="4" spans="1:34" s="535" customFormat="1" ht="24" customHeight="1" x14ac:dyDescent="0.4">
      <c r="A4" s="481" t="s">
        <v>245</v>
      </c>
      <c r="B4" s="531"/>
      <c r="C4" s="531"/>
      <c r="D4" s="531"/>
      <c r="E4" s="531"/>
      <c r="F4" s="531"/>
      <c r="G4" s="531"/>
      <c r="H4" s="481"/>
      <c r="I4" s="531"/>
      <c r="J4" s="531"/>
      <c r="K4" s="531"/>
      <c r="L4" s="531"/>
      <c r="M4" s="531"/>
      <c r="N4" s="531"/>
      <c r="O4" s="531"/>
      <c r="P4" s="64"/>
      <c r="Q4" s="64"/>
      <c r="R4" s="64"/>
      <c r="S4" s="64"/>
      <c r="T4" s="64"/>
      <c r="U4" s="532"/>
      <c r="V4" s="533"/>
      <c r="W4" s="533"/>
      <c r="X4" s="533"/>
      <c r="Y4" s="533"/>
      <c r="Z4" s="533"/>
      <c r="AA4" s="533"/>
      <c r="AB4" s="533"/>
      <c r="AC4" s="533"/>
      <c r="AD4" s="533"/>
      <c r="AE4" s="534"/>
      <c r="AF4" s="534"/>
      <c r="AG4" s="534"/>
      <c r="AH4" s="534"/>
    </row>
    <row r="5" spans="1:34" s="14" customFormat="1" ht="105" customHeight="1" outlineLevel="1" thickBot="1" x14ac:dyDescent="0.4">
      <c r="A5" s="768" t="s">
        <v>415</v>
      </c>
      <c r="B5" s="769"/>
      <c r="C5" s="769"/>
      <c r="D5" s="769"/>
      <c r="E5" s="769"/>
      <c r="F5" s="769"/>
      <c r="G5" s="769"/>
      <c r="H5" s="769"/>
      <c r="I5" s="769"/>
      <c r="J5" s="769"/>
      <c r="K5" s="769"/>
      <c r="L5" s="769"/>
      <c r="M5" s="769"/>
      <c r="N5" s="769"/>
      <c r="O5" s="770"/>
      <c r="P5" s="4"/>
      <c r="Q5" s="4"/>
      <c r="R5" s="4"/>
      <c r="S5" s="4"/>
      <c r="T5" s="4"/>
      <c r="U5" s="4"/>
      <c r="V5" s="4"/>
      <c r="W5" s="4"/>
      <c r="X5" s="4"/>
      <c r="Y5" s="4"/>
      <c r="Z5" s="4"/>
      <c r="AA5" s="4"/>
      <c r="AB5" s="4"/>
      <c r="AC5" s="4"/>
      <c r="AD5" s="4"/>
    </row>
    <row r="6" spans="1:34" s="14" customFormat="1" ht="10.5" customHeight="1" thickTop="1" x14ac:dyDescent="0.35">
      <c r="A6" s="72"/>
      <c r="B6" s="72"/>
      <c r="C6" s="72"/>
      <c r="D6" s="72"/>
      <c r="E6" s="72"/>
      <c r="F6" s="72"/>
      <c r="G6" s="72"/>
      <c r="H6" s="72"/>
      <c r="I6" s="72"/>
      <c r="J6" s="72"/>
      <c r="K6" s="72"/>
      <c r="L6" s="72"/>
      <c r="M6" s="72"/>
      <c r="N6" s="72"/>
      <c r="O6" s="72"/>
      <c r="P6" s="4"/>
      <c r="Q6" s="4"/>
      <c r="R6" s="4"/>
      <c r="S6" s="4"/>
      <c r="T6" s="4"/>
      <c r="U6" s="4"/>
      <c r="V6" s="4"/>
      <c r="W6" s="4"/>
      <c r="X6" s="4"/>
      <c r="Y6" s="4"/>
      <c r="Z6" s="4"/>
      <c r="AA6" s="4"/>
      <c r="AB6" s="4"/>
      <c r="AC6" s="4"/>
      <c r="AD6" s="4"/>
    </row>
    <row r="7" spans="1:34" s="14" customFormat="1" ht="20.5" customHeight="1" x14ac:dyDescent="0.35">
      <c r="A7" s="82" t="s">
        <v>160</v>
      </c>
      <c r="B7" s="83" t="s">
        <v>267</v>
      </c>
      <c r="C7" s="84"/>
      <c r="D7" s="84"/>
      <c r="E7" s="84"/>
      <c r="F7" s="84"/>
      <c r="G7" s="84"/>
      <c r="H7" s="84"/>
      <c r="I7" s="85"/>
      <c r="J7" s="85"/>
      <c r="K7" s="85"/>
      <c r="L7" s="85"/>
      <c r="M7" s="84"/>
      <c r="N7" s="84"/>
      <c r="O7" s="85"/>
      <c r="P7" s="4"/>
      <c r="Q7" s="4"/>
      <c r="R7" s="4"/>
      <c r="S7" s="4"/>
      <c r="T7" s="4"/>
      <c r="U7" s="4"/>
      <c r="V7" s="4"/>
      <c r="W7" s="4"/>
      <c r="X7" s="4"/>
      <c r="Y7" s="4"/>
      <c r="Z7" s="4"/>
      <c r="AA7" s="4"/>
      <c r="AB7" s="4"/>
      <c r="AC7" s="4"/>
      <c r="AD7" s="4"/>
    </row>
    <row r="9" spans="1:34" s="535" customFormat="1" ht="24" customHeight="1" x14ac:dyDescent="0.4">
      <c r="A9" s="481" t="s">
        <v>155</v>
      </c>
      <c r="B9" s="531"/>
      <c r="C9" s="531"/>
      <c r="D9" s="531"/>
      <c r="E9" s="531"/>
      <c r="F9" s="531"/>
      <c r="G9" s="531"/>
      <c r="H9" s="531"/>
      <c r="I9" s="481"/>
      <c r="J9" s="531"/>
      <c r="K9" s="531"/>
      <c r="L9" s="531"/>
      <c r="M9" s="661"/>
      <c r="N9" s="661"/>
      <c r="O9" s="531"/>
      <c r="P9" s="64"/>
      <c r="Q9" s="64"/>
      <c r="R9" s="64"/>
      <c r="S9" s="64"/>
      <c r="T9" s="64"/>
      <c r="U9" s="532"/>
      <c r="V9" s="533"/>
      <c r="W9" s="533"/>
      <c r="X9" s="533"/>
      <c r="Y9" s="533"/>
      <c r="Z9" s="533"/>
      <c r="AA9" s="533"/>
      <c r="AB9" s="533"/>
      <c r="AC9" s="533"/>
      <c r="AD9" s="533"/>
      <c r="AE9" s="534"/>
      <c r="AF9" s="534"/>
      <c r="AG9" s="534"/>
      <c r="AH9" s="534"/>
    </row>
    <row r="10" spans="1:34" s="87" customFormat="1" ht="16.5" customHeight="1" x14ac:dyDescent="0.35">
      <c r="A10" s="146"/>
      <c r="B10" s="147"/>
      <c r="C10" s="147"/>
      <c r="D10" s="86"/>
      <c r="E10" s="86"/>
      <c r="F10" s="86"/>
      <c r="G10" s="86"/>
      <c r="H10" s="86"/>
      <c r="M10" s="86"/>
      <c r="N10" s="86"/>
      <c r="P10" s="4"/>
      <c r="Q10" s="4"/>
      <c r="R10" s="4"/>
      <c r="S10" s="4"/>
      <c r="T10" s="4"/>
      <c r="U10" s="4"/>
      <c r="V10" s="4"/>
      <c r="W10" s="4"/>
      <c r="X10" s="4"/>
      <c r="Y10" s="4"/>
      <c r="Z10" s="4"/>
      <c r="AA10" s="4"/>
      <c r="AB10" s="4"/>
      <c r="AC10" s="4"/>
      <c r="AD10" s="4"/>
    </row>
    <row r="11" spans="1:34" s="520" customFormat="1" ht="51" customHeight="1" x14ac:dyDescent="0.35">
      <c r="A11" s="148" t="s">
        <v>29</v>
      </c>
      <c r="B11" s="205" t="s">
        <v>28</v>
      </c>
      <c r="C11" s="149" t="s">
        <v>370</v>
      </c>
      <c r="D11" s="205" t="s">
        <v>143</v>
      </c>
      <c r="E11" s="150" t="str">
        <f>Erfolgsrechnung!C8</f>
        <v>n = Vorjahr</v>
      </c>
      <c r="F11" s="150" t="str">
        <f>Erfolgsrechnung!D8</f>
        <v>n+1 
(1. PRE-Jahr)</v>
      </c>
      <c r="G11" s="150" t="str">
        <f>Erfolgsrechnung!E8</f>
        <v>n+2</v>
      </c>
      <c r="H11" s="150" t="str">
        <f>Erfolgsrechnung!F8</f>
        <v>n+3</v>
      </c>
      <c r="I11" s="150" t="str">
        <f>Erfolgsrechnung!G8</f>
        <v>n+4</v>
      </c>
      <c r="J11" s="150" t="str">
        <f>Erfolgsrechnung!H8</f>
        <v>n+5</v>
      </c>
      <c r="K11" s="150" t="str">
        <f>Erfolgsrechnung!I8</f>
        <v>n+6</v>
      </c>
      <c r="L11" s="151" t="str">
        <f>Erfolgsrechnung!J8</f>
        <v>1. Jahr nach Umsetzung</v>
      </c>
      <c r="M11" s="205" t="s">
        <v>403</v>
      </c>
      <c r="N11" s="205" t="s">
        <v>395</v>
      </c>
      <c r="O11" s="205" t="s">
        <v>158</v>
      </c>
      <c r="P11" s="4"/>
      <c r="Q11" s="4"/>
      <c r="R11" s="4"/>
      <c r="S11" s="4"/>
      <c r="T11" s="4"/>
      <c r="U11" s="4"/>
      <c r="V11" s="4"/>
      <c r="W11" s="4"/>
      <c r="X11" s="4"/>
      <c r="Y11" s="4"/>
      <c r="Z11" s="4"/>
      <c r="AA11" s="4"/>
      <c r="AB11" s="4"/>
      <c r="AC11" s="4"/>
      <c r="AD11" s="4"/>
      <c r="AE11" s="4"/>
    </row>
    <row r="12" spans="1:34" x14ac:dyDescent="0.35">
      <c r="A12" s="152" t="s">
        <v>144</v>
      </c>
      <c r="B12" s="153" t="s">
        <v>19</v>
      </c>
      <c r="C12" s="153"/>
      <c r="D12" s="154">
        <f>'Übersicht TP '!B26</f>
        <v>0</v>
      </c>
      <c r="E12" s="156">
        <f>SUM(E13:E14)+E15</f>
        <v>0</v>
      </c>
      <c r="F12" s="156">
        <f>SUM(F13:F14)+F15</f>
        <v>0</v>
      </c>
      <c r="G12" s="156">
        <f>SUM(G13:G14)+G15</f>
        <v>0</v>
      </c>
      <c r="H12" s="156">
        <f>SUM(H13:H14)+H15</f>
        <v>0</v>
      </c>
      <c r="I12" s="156">
        <f t="shared" ref="I12:L12" si="0">SUM(I13:I14)+I15</f>
        <v>0</v>
      </c>
      <c r="J12" s="156">
        <f t="shared" si="0"/>
        <v>0</v>
      </c>
      <c r="K12" s="156">
        <f t="shared" si="0"/>
        <v>0</v>
      </c>
      <c r="L12" s="156">
        <f t="shared" si="0"/>
        <v>0</v>
      </c>
      <c r="M12" s="716"/>
      <c r="N12" s="155">
        <f>SUM(E12:L12)</f>
        <v>0</v>
      </c>
      <c r="O12" s="157">
        <f>SUM(O13:O22)</f>
        <v>0</v>
      </c>
    </row>
    <row r="13" spans="1:34" x14ac:dyDescent="0.35">
      <c r="A13" s="94"/>
      <c r="B13" s="158" t="s">
        <v>31</v>
      </c>
      <c r="C13" s="159">
        <v>0</v>
      </c>
      <c r="D13" s="160">
        <f>'Übersicht TP '!T26</f>
        <v>0</v>
      </c>
      <c r="E13" s="162"/>
      <c r="F13" s="163"/>
      <c r="G13" s="163"/>
      <c r="H13" s="163"/>
      <c r="I13" s="163"/>
      <c r="J13" s="163"/>
      <c r="K13" s="163"/>
      <c r="L13" s="164">
        <f>IFERROR(D13*0.2,"")</f>
        <v>0</v>
      </c>
      <c r="M13" s="717" t="str">
        <f>IF(SUM(E13:L13)='Übersicht TP '!T26,"korrekt","nicht übereinstimmend")</f>
        <v>korrekt</v>
      </c>
      <c r="N13" s="161">
        <f>SUM(E13:L13)</f>
        <v>0</v>
      </c>
      <c r="O13" s="165" t="str">
        <f>IFERROR(SUM(E13:L13)/$D$12,"N/A")</f>
        <v>N/A</v>
      </c>
    </row>
    <row r="14" spans="1:34" x14ac:dyDescent="0.35">
      <c r="A14" s="94"/>
      <c r="B14" s="166" t="s">
        <v>161</v>
      </c>
      <c r="C14" s="167">
        <v>0</v>
      </c>
      <c r="D14" s="741"/>
      <c r="E14" s="169"/>
      <c r="F14" s="170"/>
      <c r="G14" s="170"/>
      <c r="H14" s="170"/>
      <c r="I14" s="170"/>
      <c r="J14" s="170"/>
      <c r="K14" s="170"/>
      <c r="L14" s="171"/>
      <c r="M14" s="718"/>
      <c r="N14" s="168">
        <f>SUM(E14:L14)</f>
        <v>0</v>
      </c>
      <c r="O14" s="165" t="str">
        <f>IFERROR(SUM(E14:L14)/$D$12,"N/A")</f>
        <v>N/A</v>
      </c>
    </row>
    <row r="15" spans="1:34" x14ac:dyDescent="0.35">
      <c r="A15" s="172"/>
      <c r="B15" s="173"/>
      <c r="C15" s="174"/>
      <c r="D15" s="175"/>
      <c r="E15" s="177">
        <f>SUM(E16:E22)</f>
        <v>0</v>
      </c>
      <c r="F15" s="177">
        <f>SUM(F16:F22)</f>
        <v>0</v>
      </c>
      <c r="G15" s="177">
        <f t="shared" ref="G15:L15" si="1">SUM(G16:G22)</f>
        <v>0</v>
      </c>
      <c r="H15" s="177">
        <f t="shared" si="1"/>
        <v>0</v>
      </c>
      <c r="I15" s="177">
        <f t="shared" si="1"/>
        <v>0</v>
      </c>
      <c r="J15" s="177">
        <f t="shared" si="1"/>
        <v>0</v>
      </c>
      <c r="K15" s="177">
        <f t="shared" si="1"/>
        <v>0</v>
      </c>
      <c r="L15" s="178">
        <f t="shared" si="1"/>
        <v>0</v>
      </c>
      <c r="M15" s="176"/>
      <c r="N15" s="176"/>
      <c r="O15" s="165"/>
    </row>
    <row r="16" spans="1:34" x14ac:dyDescent="0.35">
      <c r="A16" s="94"/>
      <c r="B16" s="180" t="s">
        <v>30</v>
      </c>
      <c r="C16" s="758"/>
      <c r="D16" s="737"/>
      <c r="E16" s="162"/>
      <c r="F16" s="163"/>
      <c r="G16" s="163"/>
      <c r="H16" s="163"/>
      <c r="I16" s="163"/>
      <c r="J16" s="163"/>
      <c r="K16" s="163"/>
      <c r="L16" s="164"/>
      <c r="M16" s="181"/>
      <c r="N16" s="181">
        <f t="shared" ref="N16:N22" si="2">SUM(E16:L16)</f>
        <v>0</v>
      </c>
      <c r="O16" s="165" t="str">
        <f>IFERROR(SUM(E16:L16)/$D$12,"N/A")</f>
        <v>N/A</v>
      </c>
    </row>
    <row r="17" spans="1:15" x14ac:dyDescent="0.35">
      <c r="A17" s="94"/>
      <c r="B17" s="182" t="s">
        <v>23</v>
      </c>
      <c r="C17" s="759"/>
      <c r="D17" s="738"/>
      <c r="E17" s="184"/>
      <c r="F17" s="185"/>
      <c r="G17" s="185"/>
      <c r="H17" s="185"/>
      <c r="I17" s="185"/>
      <c r="J17" s="185"/>
      <c r="K17" s="185"/>
      <c r="L17" s="186"/>
      <c r="M17" s="183"/>
      <c r="N17" s="183">
        <f t="shared" si="2"/>
        <v>0</v>
      </c>
      <c r="O17" s="165" t="str">
        <f>IFERROR(SUM(E17:L17)/$D$12,"N/A")</f>
        <v>N/A</v>
      </c>
    </row>
    <row r="18" spans="1:15" x14ac:dyDescent="0.35">
      <c r="A18" s="94"/>
      <c r="B18" s="182" t="s">
        <v>30</v>
      </c>
      <c r="C18" s="759"/>
      <c r="D18" s="738"/>
      <c r="E18" s="184"/>
      <c r="F18" s="185"/>
      <c r="G18" s="185"/>
      <c r="H18" s="185"/>
      <c r="I18" s="185"/>
      <c r="J18" s="185"/>
      <c r="K18" s="185"/>
      <c r="L18" s="186"/>
      <c r="M18" s="183"/>
      <c r="N18" s="183">
        <f t="shared" si="2"/>
        <v>0</v>
      </c>
      <c r="O18" s="165"/>
    </row>
    <row r="19" spans="1:15" x14ac:dyDescent="0.35">
      <c r="A19" s="94"/>
      <c r="B19" s="182"/>
      <c r="C19" s="759"/>
      <c r="D19" s="738"/>
      <c r="E19" s="184"/>
      <c r="F19" s="185"/>
      <c r="G19" s="185"/>
      <c r="H19" s="185"/>
      <c r="I19" s="185"/>
      <c r="J19" s="185"/>
      <c r="K19" s="185"/>
      <c r="L19" s="186"/>
      <c r="M19" s="183"/>
      <c r="N19" s="183">
        <f t="shared" si="2"/>
        <v>0</v>
      </c>
      <c r="O19" s="165"/>
    </row>
    <row r="20" spans="1:15" x14ac:dyDescent="0.35">
      <c r="A20" s="94"/>
      <c r="B20" s="182" t="s">
        <v>230</v>
      </c>
      <c r="C20" s="759"/>
      <c r="D20" s="738"/>
      <c r="E20" s="184"/>
      <c r="F20" s="185"/>
      <c r="G20" s="185"/>
      <c r="H20" s="185"/>
      <c r="I20" s="185"/>
      <c r="J20" s="185"/>
      <c r="K20" s="185"/>
      <c r="L20" s="186"/>
      <c r="M20" s="183"/>
      <c r="N20" s="183">
        <f t="shared" si="2"/>
        <v>0</v>
      </c>
      <c r="O20" s="165" t="str">
        <f>IFERROR(SUM(E20:L20)/$D$12,"N/A")</f>
        <v>N/A</v>
      </c>
    </row>
    <row r="21" spans="1:15" x14ac:dyDescent="0.35">
      <c r="A21" s="94"/>
      <c r="B21" s="182"/>
      <c r="C21" s="759"/>
      <c r="D21" s="739"/>
      <c r="E21" s="184"/>
      <c r="F21" s="185"/>
      <c r="G21" s="185"/>
      <c r="H21" s="185"/>
      <c r="I21" s="185"/>
      <c r="J21" s="185"/>
      <c r="K21" s="185"/>
      <c r="L21" s="186"/>
      <c r="M21" s="183"/>
      <c r="N21" s="183">
        <f t="shared" si="2"/>
        <v>0</v>
      </c>
      <c r="O21" s="165" t="str">
        <f>IFERROR(SUM(E21:L21)/$D$12,"N/A")</f>
        <v>N/A</v>
      </c>
    </row>
    <row r="22" spans="1:15" x14ac:dyDescent="0.35">
      <c r="A22" s="100"/>
      <c r="B22" s="187"/>
      <c r="C22" s="760"/>
      <c r="D22" s="740"/>
      <c r="E22" s="169"/>
      <c r="F22" s="170"/>
      <c r="G22" s="170"/>
      <c r="H22" s="170"/>
      <c r="I22" s="170"/>
      <c r="J22" s="170"/>
      <c r="K22" s="170"/>
      <c r="L22" s="171"/>
      <c r="M22" s="188"/>
      <c r="N22" s="188">
        <f t="shared" si="2"/>
        <v>0</v>
      </c>
      <c r="O22" s="165" t="str">
        <f>IFERROR(SUM(E22:L22)/$D$12,"N/A")</f>
        <v>N/A</v>
      </c>
    </row>
    <row r="23" spans="1:15" x14ac:dyDescent="0.35">
      <c r="A23" s="189" t="s">
        <v>20</v>
      </c>
      <c r="B23" s="190" t="s">
        <v>40</v>
      </c>
      <c r="C23" s="699"/>
      <c r="D23" s="191">
        <f>SUM(E23:L23)</f>
        <v>0</v>
      </c>
      <c r="E23" s="192">
        <f>E15*C23</f>
        <v>0</v>
      </c>
      <c r="F23" s="192">
        <f>(F15+E15)*C23</f>
        <v>0</v>
      </c>
      <c r="G23" s="192">
        <f>(G15+F15+E15)*C23</f>
        <v>0</v>
      </c>
      <c r="H23" s="192">
        <f>(H15+G15+F15+E15)*C23</f>
        <v>0</v>
      </c>
      <c r="I23" s="192">
        <f>(I15+H15+G15+F15+E15)*C23</f>
        <v>0</v>
      </c>
      <c r="J23" s="192">
        <f>(J15+I15+H15+G15+F15+E15)*C23</f>
        <v>0</v>
      </c>
      <c r="K23" s="192">
        <f>(K15+J15+I15+H15+G15+F15+E15)*C23</f>
        <v>0</v>
      </c>
      <c r="L23" s="193">
        <f>(L15+K15+J15+I15+H15+G15+F15+E15)*C23</f>
        <v>0</v>
      </c>
      <c r="M23" s="179"/>
      <c r="N23" s="179"/>
      <c r="O23" s="179"/>
    </row>
    <row r="24" spans="1:15" x14ac:dyDescent="0.35">
      <c r="A24" s="194" t="s">
        <v>25</v>
      </c>
      <c r="B24" s="195" t="s">
        <v>236</v>
      </c>
      <c r="C24" s="196"/>
      <c r="D24" s="197">
        <f>SUM(E24:L24)</f>
        <v>0</v>
      </c>
      <c r="E24" s="198">
        <f>E12*$C$24</f>
        <v>0</v>
      </c>
      <c r="F24" s="198">
        <f>(F12+E12)*$C$24</f>
        <v>0</v>
      </c>
      <c r="G24" s="198">
        <f>(G12+F12+E12)*$C$24</f>
        <v>0</v>
      </c>
      <c r="H24" s="198">
        <f>(H12+G12+F12+E12)*$C$24</f>
        <v>0</v>
      </c>
      <c r="I24" s="198">
        <f>(I12+H12+G12+F12+E12)*$C$24</f>
        <v>0</v>
      </c>
      <c r="J24" s="198">
        <f>(J12+I12+H12+G12+F12+E12)*$C$24</f>
        <v>0</v>
      </c>
      <c r="K24" s="198">
        <f>(K12+J12+I12+H12+G12+F12+E12)*$C$24</f>
        <v>0</v>
      </c>
      <c r="L24" s="199">
        <f>(L12+K12+J12+I12+H12+G12+F12+E12)*$C$24</f>
        <v>0</v>
      </c>
      <c r="M24" s="179"/>
      <c r="N24" s="179"/>
      <c r="O24" s="179"/>
    </row>
    <row r="25" spans="1:15" x14ac:dyDescent="0.35">
      <c r="A25" s="653" t="s">
        <v>27</v>
      </c>
      <c r="B25" s="654" t="s">
        <v>397</v>
      </c>
      <c r="C25" s="655"/>
      <c r="D25" s="656">
        <f>SUM(E25:L25)</f>
        <v>0</v>
      </c>
      <c r="E25" s="203">
        <f>SUMPRODUCT(E16:E22,$C$16:$C$22)</f>
        <v>0</v>
      </c>
      <c r="F25" s="203">
        <f>SUM(E16:F16)*$C$16+SUM(E17:F17)*$C$17+SUM(E18:F18)*$C$18+SUM(E19:F19)*$C$19+SUM(E20:F20)*$C$20+SUM(E21:F21)*$C$21+SUM(E22:F22)*$C$22</f>
        <v>0</v>
      </c>
      <c r="G25" s="203">
        <f>SUM(E16:G16)*$C$16+SUM(E17:G17)*$C$17+SUM(E18:G18)*$C$18+SUM(E19:G19)*$C$19+SUM(E20:G20)*$C$20+SUM(E21:G21)*$C$21+SUM(E22:G22)*$C$22</f>
        <v>0</v>
      </c>
      <c r="H25" s="203">
        <f>SUM(E16:H16)*$C$16+SUM(E17:H17)*$C$17+SUM(E18:H18)*$C$18+SUM(E19:H19)*$C$19+SUM(E20:H20)*$C$20+SUM(E21:H21)*$C$21+SUM(E22:H22)*$C$22</f>
        <v>0</v>
      </c>
      <c r="I25" s="203">
        <f>SUM(E16:I16)*$C$16+SUM(E17:I17)*$C$17+SUM(E18:I18)*$C$18+SUM(E19:I19)*$C$19+SUM(E20:I20)*$C$20+SUM(E21:I21)*$C$21+SUM(E22:I22)*$C$22</f>
        <v>0</v>
      </c>
      <c r="J25" s="203">
        <f>SUM(E16:J16)*$C$16+SUM(E17:J17)*$C$17+SUM(E18:J18)*$C$18+SUM(E19:J19)*$C$19+SUM(E20:J20)*$C$20+SUM(E21:J21)*$C$21+SUM(E22:J22)*$C$22</f>
        <v>0</v>
      </c>
      <c r="K25" s="203">
        <f>SUM(E16:K16)*$C$16+SUM(E17:K17)*$C$17+SUM(E18:K18)*$C$18+SUM(E19:K19)*$C$19+SUM(E20:K20)*$C$20+SUM(E21:K21)*$C$21+SUM(E22:K22)*$C$22</f>
        <v>0</v>
      </c>
      <c r="L25" s="657">
        <f>SUM(E16:L16)*$C$16+SUM(E17:L17)*$C$17+SUM(E18:L18)*$C$18+SUM(E19:L19)*$C$19+SUM(E20:L20)*$C$20+SUM(E21:L21)*$C$21+SUM(E22:L22)*$C$22</f>
        <v>0</v>
      </c>
      <c r="M25" s="179"/>
      <c r="N25" s="179"/>
      <c r="O25" s="179"/>
    </row>
    <row r="26" spans="1:15" x14ac:dyDescent="0.35">
      <c r="A26" s="104"/>
      <c r="B26" s="138"/>
      <c r="C26" s="200"/>
      <c r="D26" s="201"/>
      <c r="F26" s="202"/>
      <c r="G26" s="202"/>
      <c r="H26" s="202"/>
      <c r="I26" s="202"/>
      <c r="J26" s="202"/>
      <c r="K26" s="202"/>
      <c r="L26" s="652"/>
      <c r="M26" s="117"/>
      <c r="N26" s="179"/>
      <c r="O26" s="179"/>
    </row>
    <row r="27" spans="1:15" x14ac:dyDescent="0.35">
      <c r="A27" s="152" t="s">
        <v>145</v>
      </c>
      <c r="B27" s="153"/>
      <c r="C27" s="153"/>
      <c r="D27" s="154">
        <f>'Übersicht TP '!B27</f>
        <v>0</v>
      </c>
      <c r="E27" s="156">
        <f>SUM(E28:E29)+E30</f>
        <v>0</v>
      </c>
      <c r="F27" s="156">
        <f t="shared" ref="F27" si="3">SUM(F28:F29)+F30</f>
        <v>0</v>
      </c>
      <c r="G27" s="156">
        <f t="shared" ref="G27" si="4">SUM(G28:G29)+G30</f>
        <v>0</v>
      </c>
      <c r="H27" s="156">
        <f t="shared" ref="H27" si="5">SUM(H28:H29)+H30</f>
        <v>0</v>
      </c>
      <c r="I27" s="156">
        <f t="shared" ref="I27" si="6">SUM(I28:I29)+I30</f>
        <v>0</v>
      </c>
      <c r="J27" s="156">
        <f t="shared" ref="J27" si="7">SUM(J28:J29)+J30</f>
        <v>0</v>
      </c>
      <c r="K27" s="156">
        <f t="shared" ref="K27" si="8">SUM(K28:K29)+K30</f>
        <v>0</v>
      </c>
      <c r="L27" s="156">
        <f t="shared" ref="L27" si="9">SUM(L28:L29)+L30</f>
        <v>0</v>
      </c>
      <c r="M27" s="716"/>
      <c r="N27" s="155">
        <f>SUM(E27:L27)</f>
        <v>0</v>
      </c>
      <c r="O27" s="157">
        <f>SUM(O28:O37)</f>
        <v>0</v>
      </c>
    </row>
    <row r="28" spans="1:15" x14ac:dyDescent="0.35">
      <c r="A28" s="94"/>
      <c r="B28" s="158" t="s">
        <v>31</v>
      </c>
      <c r="C28" s="159">
        <v>0</v>
      </c>
      <c r="D28" s="160">
        <f>'Übersicht TP '!T27</f>
        <v>0</v>
      </c>
      <c r="E28" s="162"/>
      <c r="F28" s="163"/>
      <c r="G28" s="163"/>
      <c r="H28" s="163"/>
      <c r="I28" s="163"/>
      <c r="J28" s="163"/>
      <c r="K28" s="163"/>
      <c r="L28" s="164">
        <f>IFERROR(D28*0.2,"")</f>
        <v>0</v>
      </c>
      <c r="M28" s="717" t="str">
        <f>IF(SUM(E28:L28)='Übersicht TP '!T27,"korrekt","nicht übereinstimmend")</f>
        <v>korrekt</v>
      </c>
      <c r="N28" s="161">
        <f>SUM(E28:L28)</f>
        <v>0</v>
      </c>
      <c r="O28" s="165" t="str">
        <f>IFERROR(SUM(E28:L28)/$D$27,"N/A")</f>
        <v>N/A</v>
      </c>
    </row>
    <row r="29" spans="1:15" x14ac:dyDescent="0.35">
      <c r="A29" s="94"/>
      <c r="B29" s="166" t="s">
        <v>161</v>
      </c>
      <c r="C29" s="167">
        <v>0</v>
      </c>
      <c r="D29" s="741"/>
      <c r="E29" s="169"/>
      <c r="F29" s="170"/>
      <c r="G29" s="170"/>
      <c r="H29" s="170"/>
      <c r="I29" s="170"/>
      <c r="J29" s="170"/>
      <c r="K29" s="170"/>
      <c r="L29" s="171"/>
      <c r="M29" s="718"/>
      <c r="N29" s="168">
        <f>SUM(E29:L29)</f>
        <v>0</v>
      </c>
      <c r="O29" s="165" t="str">
        <f>IFERROR(SUM(E29:L29)/$D$27,"N/A")</f>
        <v>N/A</v>
      </c>
    </row>
    <row r="30" spans="1:15" x14ac:dyDescent="0.35">
      <c r="A30" s="172"/>
      <c r="B30" s="173"/>
      <c r="C30" s="174"/>
      <c r="D30" s="175"/>
      <c r="E30" s="177">
        <f>SUM(E31:E37)</f>
        <v>0</v>
      </c>
      <c r="F30" s="177">
        <f t="shared" ref="F30" si="10">SUM(F31:F37)</f>
        <v>0</v>
      </c>
      <c r="G30" s="177">
        <f t="shared" ref="G30" si="11">SUM(G31:G37)</f>
        <v>0</v>
      </c>
      <c r="H30" s="177">
        <f t="shared" ref="H30" si="12">SUM(H31:H37)</f>
        <v>0</v>
      </c>
      <c r="I30" s="177">
        <f t="shared" ref="I30" si="13">SUM(I31:I37)</f>
        <v>0</v>
      </c>
      <c r="J30" s="177">
        <f t="shared" ref="J30" si="14">SUM(J31:J37)</f>
        <v>0</v>
      </c>
      <c r="K30" s="177">
        <f t="shared" ref="K30" si="15">SUM(K31:K37)</f>
        <v>0</v>
      </c>
      <c r="L30" s="177">
        <f t="shared" ref="L30" si="16">SUM(L31:L37)</f>
        <v>0</v>
      </c>
      <c r="M30" s="176"/>
      <c r="N30" s="176"/>
      <c r="O30" s="165"/>
    </row>
    <row r="31" spans="1:15" x14ac:dyDescent="0.35">
      <c r="A31" s="94"/>
      <c r="B31" s="180" t="s">
        <v>230</v>
      </c>
      <c r="C31" s="758"/>
      <c r="D31" s="737"/>
      <c r="E31" s="162"/>
      <c r="F31" s="163"/>
      <c r="G31" s="163"/>
      <c r="H31" s="163"/>
      <c r="I31" s="163"/>
      <c r="J31" s="163"/>
      <c r="K31" s="163"/>
      <c r="L31" s="164"/>
      <c r="M31" s="181"/>
      <c r="N31" s="181">
        <f t="shared" ref="N31:N37" si="17">SUM(E31:L31)</f>
        <v>0</v>
      </c>
      <c r="O31" s="165" t="str">
        <f t="shared" ref="O31:O37" si="18">IFERROR(SUM(E31:L31)/$D$27,"N/A")</f>
        <v>N/A</v>
      </c>
    </row>
    <row r="32" spans="1:15" x14ac:dyDescent="0.35">
      <c r="A32" s="94"/>
      <c r="B32" s="182"/>
      <c r="C32" s="759"/>
      <c r="D32" s="738"/>
      <c r="E32" s="184"/>
      <c r="F32" s="185"/>
      <c r="G32" s="185"/>
      <c r="H32" s="185"/>
      <c r="I32" s="185"/>
      <c r="J32" s="185"/>
      <c r="K32" s="185"/>
      <c r="L32" s="186"/>
      <c r="M32" s="183"/>
      <c r="N32" s="183">
        <f t="shared" si="17"/>
        <v>0</v>
      </c>
      <c r="O32" s="165" t="str">
        <f t="shared" si="18"/>
        <v>N/A</v>
      </c>
    </row>
    <row r="33" spans="1:15" x14ac:dyDescent="0.35">
      <c r="A33" s="94"/>
      <c r="B33" s="182"/>
      <c r="C33" s="759"/>
      <c r="D33" s="738"/>
      <c r="E33" s="184"/>
      <c r="F33" s="185"/>
      <c r="G33" s="185"/>
      <c r="H33" s="185"/>
      <c r="I33" s="185"/>
      <c r="J33" s="185"/>
      <c r="K33" s="185"/>
      <c r="L33" s="186"/>
      <c r="M33" s="183"/>
      <c r="N33" s="183">
        <f t="shared" si="17"/>
        <v>0</v>
      </c>
      <c r="O33" s="165" t="str">
        <f t="shared" si="18"/>
        <v>N/A</v>
      </c>
    </row>
    <row r="34" spans="1:15" x14ac:dyDescent="0.35">
      <c r="A34" s="94"/>
      <c r="B34" s="182"/>
      <c r="C34" s="759"/>
      <c r="D34" s="738"/>
      <c r="E34" s="184"/>
      <c r="F34" s="185"/>
      <c r="G34" s="185"/>
      <c r="H34" s="185"/>
      <c r="I34" s="185"/>
      <c r="J34" s="185"/>
      <c r="K34" s="185"/>
      <c r="L34" s="186"/>
      <c r="M34" s="183"/>
      <c r="N34" s="183">
        <f t="shared" si="17"/>
        <v>0</v>
      </c>
      <c r="O34" s="165" t="str">
        <f t="shared" si="18"/>
        <v>N/A</v>
      </c>
    </row>
    <row r="35" spans="1:15" x14ac:dyDescent="0.35">
      <c r="A35" s="94"/>
      <c r="B35" s="182"/>
      <c r="C35" s="759"/>
      <c r="D35" s="738"/>
      <c r="E35" s="184"/>
      <c r="F35" s="185"/>
      <c r="G35" s="185"/>
      <c r="H35" s="185"/>
      <c r="I35" s="185"/>
      <c r="J35" s="185"/>
      <c r="K35" s="185"/>
      <c r="L35" s="186"/>
      <c r="M35" s="183"/>
      <c r="N35" s="183">
        <f t="shared" si="17"/>
        <v>0</v>
      </c>
      <c r="O35" s="165" t="str">
        <f t="shared" si="18"/>
        <v>N/A</v>
      </c>
    </row>
    <row r="36" spans="1:15" x14ac:dyDescent="0.35">
      <c r="A36" s="94"/>
      <c r="B36" s="182"/>
      <c r="C36" s="759"/>
      <c r="D36" s="739"/>
      <c r="E36" s="184"/>
      <c r="F36" s="185"/>
      <c r="G36" s="185"/>
      <c r="H36" s="185"/>
      <c r="I36" s="185"/>
      <c r="J36" s="185"/>
      <c r="K36" s="185"/>
      <c r="L36" s="186"/>
      <c r="M36" s="183"/>
      <c r="N36" s="183">
        <f t="shared" si="17"/>
        <v>0</v>
      </c>
      <c r="O36" s="165" t="str">
        <f t="shared" si="18"/>
        <v>N/A</v>
      </c>
    </row>
    <row r="37" spans="1:15" x14ac:dyDescent="0.35">
      <c r="A37" s="100"/>
      <c r="B37" s="187"/>
      <c r="C37" s="760"/>
      <c r="D37" s="740"/>
      <c r="E37" s="169"/>
      <c r="F37" s="170"/>
      <c r="G37" s="170"/>
      <c r="H37" s="170"/>
      <c r="I37" s="170"/>
      <c r="J37" s="170"/>
      <c r="K37" s="170"/>
      <c r="L37" s="171"/>
      <c r="M37" s="188"/>
      <c r="N37" s="188">
        <f t="shared" si="17"/>
        <v>0</v>
      </c>
      <c r="O37" s="165" t="str">
        <f t="shared" si="18"/>
        <v>N/A</v>
      </c>
    </row>
    <row r="38" spans="1:15" x14ac:dyDescent="0.35">
      <c r="A38" s="189" t="s">
        <v>20</v>
      </c>
      <c r="B38" s="190" t="s">
        <v>40</v>
      </c>
      <c r="C38" s="699"/>
      <c r="D38" s="191">
        <f>SUM(E38:L38)</f>
        <v>0</v>
      </c>
      <c r="E38" s="192">
        <f>E30*C38</f>
        <v>0</v>
      </c>
      <c r="F38" s="192">
        <f>(F30+E30)*C38</f>
        <v>0</v>
      </c>
      <c r="G38" s="192">
        <f>(G30+F30+E30)*C38</f>
        <v>0</v>
      </c>
      <c r="H38" s="192">
        <f>(H30+G30+F30+E30)*C38</f>
        <v>0</v>
      </c>
      <c r="I38" s="192">
        <f>(I30+H30+G30+F30+E30)*C38</f>
        <v>0</v>
      </c>
      <c r="J38" s="192">
        <f>(J30+I30+H30+G30+F30+E30)*C38</f>
        <v>0</v>
      </c>
      <c r="K38" s="192">
        <f>(K30+J30+I30+H30+G30+F30+E30)*C38</f>
        <v>0</v>
      </c>
      <c r="L38" s="193">
        <f>(L30+K30+J30+I30+H30+G30+F30+E30)*C38</f>
        <v>0</v>
      </c>
      <c r="M38" s="179"/>
      <c r="N38" s="179"/>
      <c r="O38" s="179"/>
    </row>
    <row r="39" spans="1:15" x14ac:dyDescent="0.35">
      <c r="A39" s="194" t="s">
        <v>25</v>
      </c>
      <c r="B39" s="195" t="s">
        <v>236</v>
      </c>
      <c r="C39" s="196"/>
      <c r="D39" s="197">
        <f>SUM(E39:L39)</f>
        <v>0</v>
      </c>
      <c r="E39" s="198">
        <f>E27*C39</f>
        <v>0</v>
      </c>
      <c r="F39" s="198">
        <f>(F27+E27)*C39</f>
        <v>0</v>
      </c>
      <c r="G39" s="198">
        <f>(G27+F27+E27)*C39</f>
        <v>0</v>
      </c>
      <c r="H39" s="198">
        <f>(H27+G27+F27+E27)*C39</f>
        <v>0</v>
      </c>
      <c r="I39" s="198">
        <f>(I27+H27+G27+F27+E27)*C39</f>
        <v>0</v>
      </c>
      <c r="J39" s="198">
        <f>(J27+I27+H27+G27+F27+E27)*C39</f>
        <v>0</v>
      </c>
      <c r="K39" s="198">
        <f>(K27+J27+I27+H27+G27+F27+E27)*C39</f>
        <v>0</v>
      </c>
      <c r="L39" s="199">
        <f>(L27+K27+J27+I27+H27+G27+F27+E27)*C39</f>
        <v>0</v>
      </c>
      <c r="M39" s="179"/>
      <c r="N39" s="179"/>
      <c r="O39" s="179"/>
    </row>
    <row r="40" spans="1:15" x14ac:dyDescent="0.35">
      <c r="A40" s="653" t="s">
        <v>27</v>
      </c>
      <c r="B40" s="654" t="s">
        <v>397</v>
      </c>
      <c r="C40" s="655"/>
      <c r="D40" s="656">
        <f>SUM(E40:L40)</f>
        <v>0</v>
      </c>
      <c r="E40" s="203">
        <f>SUMPRODUCT(E31:E37,$C$31:$C$37)</f>
        <v>0</v>
      </c>
      <c r="F40" s="203">
        <f>SUM(E31:F31)*C31+SUM(E32:F32)*C32+SUM(E33:F33)*C33+SUM(E34:F34)*C34+SUM(E35:F35)*C35+SUM(E36:F36)*C36+SUM(E37:F37)*C37</f>
        <v>0</v>
      </c>
      <c r="G40" s="203">
        <f>SUM(E31:G31)*C31+SUM(E32:G32)*C32+SUM(E33:G33)*C33+SUM(E34:G34)*C34+SUM(E35:G35)*C35+SUM(E36:G36)*C36+SUM(E37:G37)*C37</f>
        <v>0</v>
      </c>
      <c r="H40" s="203">
        <f>SUM(E31:H31)*C31+SUM(E32:H32)*C32+SUM(E33:H33)*C33+SUM(E34:H34)*C34+SUM(E35:H35)*C35+SUM(E36:H36)*C36+SUM(E37:H37)*C37</f>
        <v>0</v>
      </c>
      <c r="I40" s="203">
        <f>SUM(E31:I31)*C31+SUM(E32:I32)*C32+SUM(E33:I33)*C33+SUM(E34:I34)*C34+SUM(E35:I35)*C35+SUM(E36:I36)*C36+SUM(E37:I37)*C37</f>
        <v>0</v>
      </c>
      <c r="J40" s="203">
        <f>SUM(E31:J31)*C31+SUM(E32:J32)*C32+SUM(E33:J33)*C33+SUM(E34:J34)*C34+SUM(E35:J35)*C35+SUM(E36:J36)*C36+SUM(E37:J37)*C37</f>
        <v>0</v>
      </c>
      <c r="K40" s="203">
        <f>SUM(E31:K31)*C31+SUM(E32:K32)*C32+SUM(E33:K33)*C33+SUM(E34:K34)*C34+SUM(E35:K35)*C35+SUM(E36:K36)*C36+SUM(E37:K37)*C37</f>
        <v>0</v>
      </c>
      <c r="L40" s="657">
        <f>SUM(E31:L31)*C31+SUM(E32:L32)*C32+SUM(E33:L33)*C33+SUM(E34:L34)*C34+SUM(E35:L35)*C35+SUM(E36:L36)*C36+SUM(E37:L37)*C37</f>
        <v>0</v>
      </c>
      <c r="M40" s="179"/>
      <c r="N40" s="179"/>
      <c r="O40" s="179"/>
    </row>
    <row r="41" spans="1:15" x14ac:dyDescent="0.35">
      <c r="A41" s="104"/>
      <c r="B41" s="138"/>
      <c r="C41" s="200"/>
      <c r="D41" s="201"/>
      <c r="F41" s="202"/>
      <c r="G41" s="202"/>
      <c r="H41" s="202"/>
      <c r="I41" s="202"/>
      <c r="J41" s="202"/>
      <c r="K41" s="202"/>
      <c r="L41" s="203"/>
      <c r="M41" s="179"/>
      <c r="N41" s="179"/>
      <c r="O41" s="179"/>
    </row>
    <row r="42" spans="1:15" x14ac:dyDescent="0.35">
      <c r="A42" s="152" t="s">
        <v>146</v>
      </c>
      <c r="B42" s="153"/>
      <c r="C42" s="153"/>
      <c r="D42" s="154">
        <f>'Übersicht TP '!B28</f>
        <v>0</v>
      </c>
      <c r="E42" s="156">
        <f>SUM(E43:E44)+E45</f>
        <v>0</v>
      </c>
      <c r="F42" s="156">
        <f t="shared" ref="F42" si="19">SUM(F43:F44)+F45</f>
        <v>0</v>
      </c>
      <c r="G42" s="156">
        <f t="shared" ref="G42" si="20">SUM(G43:G44)+G45</f>
        <v>0</v>
      </c>
      <c r="H42" s="156">
        <f t="shared" ref="H42" si="21">SUM(H43:H44)+H45</f>
        <v>0</v>
      </c>
      <c r="I42" s="156">
        <f t="shared" ref="I42" si="22">SUM(I43:I44)+I45</f>
        <v>0</v>
      </c>
      <c r="J42" s="156">
        <f t="shared" ref="J42" si="23">SUM(J43:J44)+J45</f>
        <v>0</v>
      </c>
      <c r="K42" s="156">
        <f t="shared" ref="K42" si="24">SUM(K43:K44)+K45</f>
        <v>0</v>
      </c>
      <c r="L42" s="156">
        <f t="shared" ref="L42" si="25">SUM(L43:L44)+L45</f>
        <v>0</v>
      </c>
      <c r="M42" s="716"/>
      <c r="N42" s="155">
        <f>SUM(E42:L42)</f>
        <v>0</v>
      </c>
      <c r="O42" s="157">
        <f>SUM(O43:O52)</f>
        <v>0</v>
      </c>
    </row>
    <row r="43" spans="1:15" x14ac:dyDescent="0.35">
      <c r="A43" s="94"/>
      <c r="B43" s="158" t="s">
        <v>31</v>
      </c>
      <c r="C43" s="159">
        <v>0</v>
      </c>
      <c r="D43" s="160">
        <f>'Übersicht TP '!T28</f>
        <v>0</v>
      </c>
      <c r="E43" s="162"/>
      <c r="F43" s="163"/>
      <c r="G43" s="163"/>
      <c r="H43" s="163"/>
      <c r="I43" s="163"/>
      <c r="J43" s="163"/>
      <c r="K43" s="163"/>
      <c r="L43" s="164">
        <f>IFERROR(D43*0.2,"")</f>
        <v>0</v>
      </c>
      <c r="M43" s="717" t="str">
        <f>IF(SUM(E43:L43)='Übersicht TP '!T28,"korrekt","nicht übereinstimmend")</f>
        <v>korrekt</v>
      </c>
      <c r="N43" s="161">
        <f>SUM(E43:L43)</f>
        <v>0</v>
      </c>
      <c r="O43" s="165" t="str">
        <f>IFERROR(SUM(E43:L43)/$D$42,"N/A")</f>
        <v>N/A</v>
      </c>
    </row>
    <row r="44" spans="1:15" x14ac:dyDescent="0.35">
      <c r="A44" s="94"/>
      <c r="B44" s="166" t="s">
        <v>161</v>
      </c>
      <c r="C44" s="167">
        <v>0</v>
      </c>
      <c r="D44" s="741"/>
      <c r="E44" s="169"/>
      <c r="F44" s="170"/>
      <c r="G44" s="170"/>
      <c r="H44" s="170"/>
      <c r="I44" s="170"/>
      <c r="J44" s="170"/>
      <c r="K44" s="170"/>
      <c r="L44" s="171"/>
      <c r="M44" s="718"/>
      <c r="N44" s="168">
        <f>SUM(E44:L44)</f>
        <v>0</v>
      </c>
      <c r="O44" s="165" t="str">
        <f>IFERROR(SUM(E44:L44)/$D$42,"N/A")</f>
        <v>N/A</v>
      </c>
    </row>
    <row r="45" spans="1:15" x14ac:dyDescent="0.35">
      <c r="A45" s="172"/>
      <c r="B45" s="173"/>
      <c r="C45" s="174"/>
      <c r="D45" s="175"/>
      <c r="E45" s="177">
        <f>SUM(E46:E52)</f>
        <v>0</v>
      </c>
      <c r="F45" s="177">
        <f t="shared" ref="F45" si="26">SUM(F46:F52)</f>
        <v>0</v>
      </c>
      <c r="G45" s="177">
        <f t="shared" ref="G45" si="27">SUM(G46:G52)</f>
        <v>0</v>
      </c>
      <c r="H45" s="177">
        <f t="shared" ref="H45" si="28">SUM(H46:H52)</f>
        <v>0</v>
      </c>
      <c r="I45" s="177">
        <f t="shared" ref="I45" si="29">SUM(I46:I52)</f>
        <v>0</v>
      </c>
      <c r="J45" s="177">
        <f t="shared" ref="J45" si="30">SUM(J46:J52)</f>
        <v>0</v>
      </c>
      <c r="K45" s="177">
        <f t="shared" ref="K45" si="31">SUM(K46:K52)</f>
        <v>0</v>
      </c>
      <c r="L45" s="177">
        <f t="shared" ref="L45" si="32">SUM(L46:L52)</f>
        <v>0</v>
      </c>
      <c r="M45" s="176"/>
      <c r="N45" s="176"/>
      <c r="O45" s="165"/>
    </row>
    <row r="46" spans="1:15" x14ac:dyDescent="0.35">
      <c r="A46" s="94"/>
      <c r="B46" s="180" t="s">
        <v>230</v>
      </c>
      <c r="C46" s="758"/>
      <c r="D46" s="737"/>
      <c r="E46" s="162"/>
      <c r="F46" s="163"/>
      <c r="G46" s="163"/>
      <c r="H46" s="163"/>
      <c r="I46" s="163"/>
      <c r="J46" s="163"/>
      <c r="K46" s="163"/>
      <c r="L46" s="164"/>
      <c r="M46" s="181"/>
      <c r="N46" s="181">
        <f t="shared" ref="N46:N52" si="33">SUM(E46:L46)</f>
        <v>0</v>
      </c>
      <c r="O46" s="165" t="str">
        <f t="shared" ref="O46:O52" si="34">IFERROR(SUM(E46:L46)/$D$42,"N/A")</f>
        <v>N/A</v>
      </c>
    </row>
    <row r="47" spans="1:15" x14ac:dyDescent="0.35">
      <c r="A47" s="94"/>
      <c r="B47" s="182"/>
      <c r="C47" s="759"/>
      <c r="D47" s="738"/>
      <c r="E47" s="184"/>
      <c r="F47" s="185"/>
      <c r="G47" s="185"/>
      <c r="H47" s="185"/>
      <c r="I47" s="185"/>
      <c r="J47" s="185"/>
      <c r="K47" s="185"/>
      <c r="L47" s="186"/>
      <c r="M47" s="183"/>
      <c r="N47" s="183">
        <f t="shared" si="33"/>
        <v>0</v>
      </c>
      <c r="O47" s="165" t="str">
        <f t="shared" si="34"/>
        <v>N/A</v>
      </c>
    </row>
    <row r="48" spans="1:15" x14ac:dyDescent="0.35">
      <c r="A48" s="94"/>
      <c r="B48" s="182"/>
      <c r="C48" s="759"/>
      <c r="D48" s="738"/>
      <c r="E48" s="184"/>
      <c r="F48" s="185"/>
      <c r="G48" s="185"/>
      <c r="H48" s="185"/>
      <c r="I48" s="185"/>
      <c r="J48" s="185"/>
      <c r="K48" s="185"/>
      <c r="L48" s="186"/>
      <c r="M48" s="183"/>
      <c r="N48" s="183">
        <f t="shared" si="33"/>
        <v>0</v>
      </c>
      <c r="O48" s="165" t="str">
        <f t="shared" si="34"/>
        <v>N/A</v>
      </c>
    </row>
    <row r="49" spans="1:15" x14ac:dyDescent="0.35">
      <c r="A49" s="94"/>
      <c r="B49" s="182"/>
      <c r="C49" s="759"/>
      <c r="D49" s="738"/>
      <c r="E49" s="184"/>
      <c r="F49" s="185"/>
      <c r="G49" s="185"/>
      <c r="H49" s="185"/>
      <c r="I49" s="185"/>
      <c r="J49" s="185"/>
      <c r="K49" s="185"/>
      <c r="L49" s="186"/>
      <c r="M49" s="183"/>
      <c r="N49" s="183">
        <f t="shared" si="33"/>
        <v>0</v>
      </c>
      <c r="O49" s="165" t="str">
        <f t="shared" si="34"/>
        <v>N/A</v>
      </c>
    </row>
    <row r="50" spans="1:15" x14ac:dyDescent="0.35">
      <c r="A50" s="94"/>
      <c r="B50" s="182"/>
      <c r="C50" s="759"/>
      <c r="D50" s="738"/>
      <c r="E50" s="184"/>
      <c r="F50" s="185"/>
      <c r="G50" s="185"/>
      <c r="H50" s="185"/>
      <c r="I50" s="185"/>
      <c r="J50" s="185"/>
      <c r="K50" s="185"/>
      <c r="L50" s="186"/>
      <c r="M50" s="183"/>
      <c r="N50" s="183">
        <f t="shared" si="33"/>
        <v>0</v>
      </c>
      <c r="O50" s="165" t="str">
        <f t="shared" si="34"/>
        <v>N/A</v>
      </c>
    </row>
    <row r="51" spans="1:15" x14ac:dyDescent="0.35">
      <c r="A51" s="94"/>
      <c r="B51" s="182"/>
      <c r="C51" s="759"/>
      <c r="D51" s="739"/>
      <c r="E51" s="184"/>
      <c r="F51" s="185"/>
      <c r="G51" s="185"/>
      <c r="H51" s="185"/>
      <c r="I51" s="185"/>
      <c r="J51" s="185"/>
      <c r="K51" s="185"/>
      <c r="L51" s="186"/>
      <c r="M51" s="183"/>
      <c r="N51" s="183">
        <f t="shared" si="33"/>
        <v>0</v>
      </c>
      <c r="O51" s="165" t="str">
        <f t="shared" si="34"/>
        <v>N/A</v>
      </c>
    </row>
    <row r="52" spans="1:15" x14ac:dyDescent="0.35">
      <c r="A52" s="100"/>
      <c r="B52" s="187"/>
      <c r="C52" s="760"/>
      <c r="D52" s="740"/>
      <c r="E52" s="169"/>
      <c r="F52" s="170"/>
      <c r="G52" s="170"/>
      <c r="H52" s="170"/>
      <c r="I52" s="170"/>
      <c r="J52" s="170"/>
      <c r="K52" s="170"/>
      <c r="L52" s="171"/>
      <c r="M52" s="188"/>
      <c r="N52" s="188">
        <f t="shared" si="33"/>
        <v>0</v>
      </c>
      <c r="O52" s="165" t="str">
        <f t="shared" si="34"/>
        <v>N/A</v>
      </c>
    </row>
    <row r="53" spans="1:15" x14ac:dyDescent="0.35">
      <c r="A53" s="189" t="s">
        <v>20</v>
      </c>
      <c r="B53" s="190" t="s">
        <v>40</v>
      </c>
      <c r="C53" s="699"/>
      <c r="D53" s="191">
        <f>SUM(E53:L53)</f>
        <v>0</v>
      </c>
      <c r="E53" s="192">
        <f>E45*C53</f>
        <v>0</v>
      </c>
      <c r="F53" s="192">
        <f>(F45+E45)*C53</f>
        <v>0</v>
      </c>
      <c r="G53" s="192">
        <f>(G45+F45+E45)*C53</f>
        <v>0</v>
      </c>
      <c r="H53" s="192">
        <f>(H45+G45+F45+E45)*C53</f>
        <v>0</v>
      </c>
      <c r="I53" s="192">
        <f>(I45+H45+G45+F45+E45)*C53</f>
        <v>0</v>
      </c>
      <c r="J53" s="192">
        <f>(J45+I45+H45+G45+F45+E45)*C53</f>
        <v>0</v>
      </c>
      <c r="K53" s="192">
        <f>(K45+J45+I45+H45+G45+F45+E45)*C53</f>
        <v>0</v>
      </c>
      <c r="L53" s="193">
        <f>(L45+K45+J45+I45+H45+G45+F45+E45)*C53</f>
        <v>0</v>
      </c>
      <c r="M53" s="179"/>
      <c r="N53" s="179"/>
      <c r="O53" s="179"/>
    </row>
    <row r="54" spans="1:15" x14ac:dyDescent="0.35">
      <c r="A54" s="194" t="s">
        <v>25</v>
      </c>
      <c r="B54" s="195" t="s">
        <v>236</v>
      </c>
      <c r="C54" s="196"/>
      <c r="D54" s="197">
        <f>SUM(E54:L54)</f>
        <v>0</v>
      </c>
      <c r="E54" s="198">
        <f>E42*C54</f>
        <v>0</v>
      </c>
      <c r="F54" s="198">
        <f>(F42+E42)*C54</f>
        <v>0</v>
      </c>
      <c r="G54" s="198">
        <f>(G42+F42+E42)*C54</f>
        <v>0</v>
      </c>
      <c r="H54" s="198">
        <f>(H42+G42+F42+E42)*C54</f>
        <v>0</v>
      </c>
      <c r="I54" s="198">
        <f>(I42+H42+G42+F42+E42)*C54</f>
        <v>0</v>
      </c>
      <c r="J54" s="198">
        <f>(J42+I42+H42+G42+F42+E42)*C54</f>
        <v>0</v>
      </c>
      <c r="K54" s="198">
        <f>(K42+J42+I42+H42+G42+F42+E42)*C54</f>
        <v>0</v>
      </c>
      <c r="L54" s="199">
        <f>(L42+K42+J42+I42+H42+G42+F42+E42)*C54</f>
        <v>0</v>
      </c>
      <c r="M54" s="179"/>
      <c r="N54" s="179"/>
      <c r="O54" s="179"/>
    </row>
    <row r="55" spans="1:15" x14ac:dyDescent="0.35">
      <c r="A55" s="653" t="s">
        <v>27</v>
      </c>
      <c r="B55" s="654" t="s">
        <v>397</v>
      </c>
      <c r="C55" s="655"/>
      <c r="D55" s="656">
        <f>SUM(E55:L55)</f>
        <v>0</v>
      </c>
      <c r="E55" s="203">
        <f>SUMPRODUCT(E46:E52,C46:C52)</f>
        <v>0</v>
      </c>
      <c r="F55" s="203">
        <f>SUM(E46:F46)*C46+SUM(E47:F47)*C47+SUM(E48:F48)*C48+SUM(E49:F49)*C49+SUM(E50:F50)*C50+SUM(E51:F51)*C51+SUM(E52:F52)*C52</f>
        <v>0</v>
      </c>
      <c r="G55" s="203">
        <f>SUM(E46:G46)*C46+SUM(E47:G47)*C47+SUM(E48:G48)*C48+SUM(E49:G49)*C49+SUM(E50:G50)*C50+SUM(E51:G51)*C51+SUM(E52:G52)*C52</f>
        <v>0</v>
      </c>
      <c r="H55" s="203">
        <f>SUM(E46:H46)*C46+SUM(E47:H47)*C47+SUM(E48:H48)*C48+SUM(E49:H49)*C49+SUM(E50:H50)*C50+SUM(E51:H51)*C51+SUM(E52:H52)*C52</f>
        <v>0</v>
      </c>
      <c r="I55" s="203">
        <f>SUM(E46:I46)*C46+SUM(E47:I47)*C47+SUM(E48:I48)*C48+SUM(E49:I49)*C49+SUM(E50:I50)*C50+SUM(E51:I51)*C51+SUM(E52:I52)*C52</f>
        <v>0</v>
      </c>
      <c r="J55" s="203">
        <f>SUM(E46:J46)*C46+SUM(E47:J47)*C47+SUM(E48:J48)*C48+SUM(E49:J49)*C49+SUM(E50:J50)*C50+SUM(E51:J51)*C51+SUM(E52:J52)*C52</f>
        <v>0</v>
      </c>
      <c r="K55" s="203">
        <f>SUM(E46:K46)*C46+SUM(E47:K47)*C47+SUM(E48:K48)*C48+SUM(E49:K49)*C49+SUM(E50:K50)*C50+SUM(E51:K51)*C51+SUM(E52:K52)*C52</f>
        <v>0</v>
      </c>
      <c r="L55" s="657">
        <f>SUM(E46:L46)*C46+SUM(E47:L47)*C47+SUM(E48:L48)*C48+SUM(E49:L49)*C49+SUM(E50:L50)*C50+SUM(E51:L51)*C51+SUM(E52:L52)*C52</f>
        <v>0</v>
      </c>
      <c r="M55" s="179"/>
      <c r="N55" s="179"/>
      <c r="O55" s="179"/>
    </row>
    <row r="56" spans="1:15" x14ac:dyDescent="0.35">
      <c r="A56" s="104"/>
      <c r="B56" s="138"/>
      <c r="C56" s="200"/>
      <c r="D56" s="201"/>
      <c r="F56" s="202"/>
      <c r="G56" s="202"/>
      <c r="H56" s="202"/>
      <c r="I56" s="202"/>
      <c r="J56" s="202"/>
      <c r="K56" s="202"/>
      <c r="L56" s="203"/>
      <c r="M56" s="179"/>
      <c r="N56" s="179"/>
      <c r="O56" s="179"/>
    </row>
    <row r="57" spans="1:15" hidden="1" outlineLevel="1" x14ac:dyDescent="0.35">
      <c r="A57" s="152" t="s">
        <v>147</v>
      </c>
      <c r="B57" s="153"/>
      <c r="C57" s="153"/>
      <c r="D57" s="154">
        <f>'Übersicht TP '!B29</f>
        <v>0</v>
      </c>
      <c r="E57" s="156">
        <f>SUM(E58:E59)+E60</f>
        <v>0</v>
      </c>
      <c r="F57" s="156">
        <f t="shared" ref="F57" si="35">SUM(F58:F59)+F60</f>
        <v>0</v>
      </c>
      <c r="G57" s="156">
        <f t="shared" ref="G57" si="36">SUM(G58:G59)+G60</f>
        <v>0</v>
      </c>
      <c r="H57" s="156">
        <f t="shared" ref="H57" si="37">SUM(H58:H59)+H60</f>
        <v>0</v>
      </c>
      <c r="I57" s="156">
        <f t="shared" ref="I57" si="38">SUM(I58:I59)+I60</f>
        <v>0</v>
      </c>
      <c r="J57" s="156">
        <f t="shared" ref="J57" si="39">SUM(J58:J59)+J60</f>
        <v>0</v>
      </c>
      <c r="K57" s="156">
        <f t="shared" ref="K57" si="40">SUM(K58:K59)+K60</f>
        <v>0</v>
      </c>
      <c r="L57" s="156">
        <f t="shared" ref="L57" si="41">SUM(L58:L59)+L60</f>
        <v>0</v>
      </c>
      <c r="M57" s="716"/>
      <c r="N57" s="155">
        <f>SUM(E57:L57)</f>
        <v>0</v>
      </c>
      <c r="O57" s="157">
        <f>SUM(O58:O67)</f>
        <v>0</v>
      </c>
    </row>
    <row r="58" spans="1:15" hidden="1" outlineLevel="1" x14ac:dyDescent="0.35">
      <c r="A58" s="94"/>
      <c r="B58" s="158" t="s">
        <v>31</v>
      </c>
      <c r="C58" s="159">
        <v>0</v>
      </c>
      <c r="D58" s="160">
        <f>'Übersicht TP '!T29</f>
        <v>0</v>
      </c>
      <c r="E58" s="162"/>
      <c r="F58" s="163"/>
      <c r="G58" s="163"/>
      <c r="H58" s="163"/>
      <c r="I58" s="163"/>
      <c r="J58" s="163"/>
      <c r="K58" s="163"/>
      <c r="L58" s="164">
        <f>IFERROR(D58*0.2,"")</f>
        <v>0</v>
      </c>
      <c r="M58" s="717" t="str">
        <f>IF(SUM(E58:L58)='Übersicht TP '!T29,"korrekt","nicht übereinstimmend")</f>
        <v>korrekt</v>
      </c>
      <c r="N58" s="181"/>
      <c r="O58" s="165" t="str">
        <f>IFERROR(SUM(E58:L58)/$D$57,"N/A")</f>
        <v>N/A</v>
      </c>
    </row>
    <row r="59" spans="1:15" hidden="1" outlineLevel="1" x14ac:dyDescent="0.35">
      <c r="A59" s="94"/>
      <c r="B59" s="166" t="s">
        <v>161</v>
      </c>
      <c r="C59" s="167">
        <v>0</v>
      </c>
      <c r="D59" s="741"/>
      <c r="E59" s="169"/>
      <c r="F59" s="170"/>
      <c r="G59" s="170"/>
      <c r="H59" s="170"/>
      <c r="I59" s="170"/>
      <c r="J59" s="170"/>
      <c r="K59" s="170"/>
      <c r="L59" s="171"/>
      <c r="M59" s="718"/>
      <c r="N59" s="188"/>
      <c r="O59" s="165" t="str">
        <f>IFERROR(SUM(E59:L59)/$D$57,"N/A")</f>
        <v>N/A</v>
      </c>
    </row>
    <row r="60" spans="1:15" hidden="1" outlineLevel="1" x14ac:dyDescent="0.35">
      <c r="A60" s="172"/>
      <c r="B60" s="173"/>
      <c r="C60" s="174"/>
      <c r="D60" s="175"/>
      <c r="E60" s="177">
        <f>SUM(E61:E67)</f>
        <v>0</v>
      </c>
      <c r="F60" s="177">
        <f t="shared" ref="F60" si="42">SUM(F61:F67)</f>
        <v>0</v>
      </c>
      <c r="G60" s="177">
        <f t="shared" ref="G60" si="43">SUM(G61:G67)</f>
        <v>0</v>
      </c>
      <c r="H60" s="177">
        <f t="shared" ref="H60" si="44">SUM(H61:H67)</f>
        <v>0</v>
      </c>
      <c r="I60" s="177">
        <f t="shared" ref="I60" si="45">SUM(I61:I67)</f>
        <v>0</v>
      </c>
      <c r="J60" s="177">
        <f t="shared" ref="J60" si="46">SUM(J61:J67)</f>
        <v>0</v>
      </c>
      <c r="K60" s="177">
        <f t="shared" ref="K60" si="47">SUM(K61:K67)</f>
        <v>0</v>
      </c>
      <c r="L60" s="177">
        <f t="shared" ref="L60" si="48">SUM(L61:L67)</f>
        <v>0</v>
      </c>
      <c r="M60" s="176"/>
      <c r="N60" s="176"/>
      <c r="O60" s="165"/>
    </row>
    <row r="61" spans="1:15" hidden="1" outlineLevel="1" x14ac:dyDescent="0.35">
      <c r="A61" s="94"/>
      <c r="B61" s="180" t="s">
        <v>230</v>
      </c>
      <c r="C61" s="758"/>
      <c r="D61" s="737"/>
      <c r="E61" s="162"/>
      <c r="F61" s="163"/>
      <c r="G61" s="163"/>
      <c r="H61" s="163"/>
      <c r="I61" s="163"/>
      <c r="J61" s="163"/>
      <c r="K61" s="163"/>
      <c r="L61" s="164"/>
      <c r="M61" s="181"/>
      <c r="N61" s="181">
        <f t="shared" ref="N61:N67" si="49">SUM(E61:L61)</f>
        <v>0</v>
      </c>
      <c r="O61" s="165" t="str">
        <f t="shared" ref="O61:O67" si="50">IFERROR(SUM(E61:L61)/$D$57,"N/A")</f>
        <v>N/A</v>
      </c>
    </row>
    <row r="62" spans="1:15" hidden="1" outlineLevel="1" x14ac:dyDescent="0.35">
      <c r="A62" s="94"/>
      <c r="B62" s="182" t="s">
        <v>230</v>
      </c>
      <c r="C62" s="759"/>
      <c r="D62" s="738"/>
      <c r="E62" s="184"/>
      <c r="F62" s="185"/>
      <c r="G62" s="185"/>
      <c r="H62" s="185"/>
      <c r="I62" s="185"/>
      <c r="J62" s="185"/>
      <c r="K62" s="185"/>
      <c r="L62" s="186"/>
      <c r="M62" s="183"/>
      <c r="N62" s="183">
        <f t="shared" si="49"/>
        <v>0</v>
      </c>
      <c r="O62" s="165" t="str">
        <f t="shared" si="50"/>
        <v>N/A</v>
      </c>
    </row>
    <row r="63" spans="1:15" hidden="1" outlineLevel="1" x14ac:dyDescent="0.35">
      <c r="A63" s="94"/>
      <c r="B63" s="182"/>
      <c r="C63" s="759"/>
      <c r="D63" s="738"/>
      <c r="E63" s="184"/>
      <c r="F63" s="185"/>
      <c r="G63" s="185"/>
      <c r="H63" s="185"/>
      <c r="I63" s="185"/>
      <c r="J63" s="185"/>
      <c r="K63" s="185"/>
      <c r="L63" s="186"/>
      <c r="M63" s="183"/>
      <c r="N63" s="183">
        <f t="shared" si="49"/>
        <v>0</v>
      </c>
      <c r="O63" s="165" t="str">
        <f t="shared" si="50"/>
        <v>N/A</v>
      </c>
    </row>
    <row r="64" spans="1:15" hidden="1" outlineLevel="1" x14ac:dyDescent="0.35">
      <c r="A64" s="94"/>
      <c r="B64" s="182"/>
      <c r="C64" s="759"/>
      <c r="D64" s="738"/>
      <c r="E64" s="184"/>
      <c r="F64" s="185"/>
      <c r="G64" s="185"/>
      <c r="H64" s="185"/>
      <c r="I64" s="185"/>
      <c r="J64" s="185"/>
      <c r="K64" s="185"/>
      <c r="L64" s="186"/>
      <c r="M64" s="183"/>
      <c r="N64" s="183">
        <f t="shared" si="49"/>
        <v>0</v>
      </c>
      <c r="O64" s="165" t="str">
        <f t="shared" si="50"/>
        <v>N/A</v>
      </c>
    </row>
    <row r="65" spans="1:15" hidden="1" outlineLevel="1" x14ac:dyDescent="0.35">
      <c r="A65" s="94"/>
      <c r="B65" s="182"/>
      <c r="C65" s="759"/>
      <c r="D65" s="738"/>
      <c r="E65" s="184"/>
      <c r="F65" s="185"/>
      <c r="G65" s="185"/>
      <c r="H65" s="185"/>
      <c r="I65" s="185"/>
      <c r="J65" s="185"/>
      <c r="K65" s="185"/>
      <c r="L65" s="186"/>
      <c r="M65" s="183"/>
      <c r="N65" s="183">
        <f t="shared" si="49"/>
        <v>0</v>
      </c>
      <c r="O65" s="165" t="str">
        <f t="shared" si="50"/>
        <v>N/A</v>
      </c>
    </row>
    <row r="66" spans="1:15" hidden="1" outlineLevel="1" x14ac:dyDescent="0.35">
      <c r="A66" s="94"/>
      <c r="B66" s="182"/>
      <c r="C66" s="759"/>
      <c r="D66" s="739"/>
      <c r="E66" s="184"/>
      <c r="F66" s="185"/>
      <c r="G66" s="185"/>
      <c r="H66" s="185"/>
      <c r="I66" s="185"/>
      <c r="J66" s="185"/>
      <c r="K66" s="185"/>
      <c r="L66" s="186"/>
      <c r="M66" s="183"/>
      <c r="N66" s="183">
        <f t="shared" si="49"/>
        <v>0</v>
      </c>
      <c r="O66" s="165" t="str">
        <f t="shared" si="50"/>
        <v>N/A</v>
      </c>
    </row>
    <row r="67" spans="1:15" hidden="1" outlineLevel="1" x14ac:dyDescent="0.35">
      <c r="A67" s="100"/>
      <c r="B67" s="187"/>
      <c r="C67" s="760"/>
      <c r="D67" s="740"/>
      <c r="E67" s="169"/>
      <c r="F67" s="170"/>
      <c r="G67" s="170"/>
      <c r="H67" s="170"/>
      <c r="I67" s="170"/>
      <c r="J67" s="170"/>
      <c r="K67" s="170"/>
      <c r="L67" s="171"/>
      <c r="M67" s="188"/>
      <c r="N67" s="188">
        <f t="shared" si="49"/>
        <v>0</v>
      </c>
      <c r="O67" s="165" t="str">
        <f t="shared" si="50"/>
        <v>N/A</v>
      </c>
    </row>
    <row r="68" spans="1:15" hidden="1" outlineLevel="1" x14ac:dyDescent="0.35">
      <c r="A68" s="189" t="s">
        <v>20</v>
      </c>
      <c r="B68" s="190" t="s">
        <v>40</v>
      </c>
      <c r="C68" s="699"/>
      <c r="D68" s="191">
        <f>SUM(E68:L68)</f>
        <v>0</v>
      </c>
      <c r="E68" s="192">
        <f>E60*C68</f>
        <v>0</v>
      </c>
      <c r="F68" s="192">
        <f>(F60+E60)*C68</f>
        <v>0</v>
      </c>
      <c r="G68" s="192">
        <f>(G60+F60+E60)*C68</f>
        <v>0</v>
      </c>
      <c r="H68" s="192">
        <f>(H60+G60+F60+E60)*C68</f>
        <v>0</v>
      </c>
      <c r="I68" s="192">
        <f>(I60+H60+G60+F60+E60)*C68</f>
        <v>0</v>
      </c>
      <c r="J68" s="192">
        <f>(J60+I60+H60+G60+F60+E60)*C68</f>
        <v>0</v>
      </c>
      <c r="K68" s="192">
        <f>(K60+J60+I60+H60+G60+F60+E60)*C68</f>
        <v>0</v>
      </c>
      <c r="L68" s="193">
        <f>(L60+K60+J60+I60+H60+G60+F60+E60)*C68</f>
        <v>0</v>
      </c>
      <c r="M68" s="179"/>
      <c r="N68" s="179"/>
      <c r="O68" s="179"/>
    </row>
    <row r="69" spans="1:15" hidden="1" outlineLevel="1" x14ac:dyDescent="0.35">
      <c r="A69" s="194" t="s">
        <v>25</v>
      </c>
      <c r="B69" s="195" t="s">
        <v>236</v>
      </c>
      <c r="C69" s="196"/>
      <c r="D69" s="197">
        <f>SUM(E69:L69)</f>
        <v>0</v>
      </c>
      <c r="E69" s="198">
        <f>E57*C69</f>
        <v>0</v>
      </c>
      <c r="F69" s="198">
        <f>(F57+E57)*C69</f>
        <v>0</v>
      </c>
      <c r="G69" s="198">
        <f>(G57+F57+E57)*C69</f>
        <v>0</v>
      </c>
      <c r="H69" s="198">
        <f>(H57+G57+F57+E57)*C69</f>
        <v>0</v>
      </c>
      <c r="I69" s="198">
        <f>(I57+H57+G57+F57+E57)*C69</f>
        <v>0</v>
      </c>
      <c r="J69" s="198">
        <f>(J57+I57+H57+G57+F57+E57)*C69</f>
        <v>0</v>
      </c>
      <c r="K69" s="198">
        <f>(K57+J57+I57+H57+G57+F57+E57)*C69</f>
        <v>0</v>
      </c>
      <c r="L69" s="199">
        <f>(L57+K57+J57+I57+H57+G57+F57+E57)*C69</f>
        <v>0</v>
      </c>
      <c r="M69" s="179"/>
      <c r="N69" s="179"/>
      <c r="O69" s="179"/>
    </row>
    <row r="70" spans="1:15" hidden="1" outlineLevel="1" x14ac:dyDescent="0.35">
      <c r="A70" s="653" t="s">
        <v>27</v>
      </c>
      <c r="B70" s="654" t="s">
        <v>397</v>
      </c>
      <c r="C70" s="655"/>
      <c r="D70" s="656">
        <f>SUM(E70:L70)</f>
        <v>0</v>
      </c>
      <c r="E70" s="203">
        <f>SUMPRODUCT(E61:E67,C61:C67)</f>
        <v>0</v>
      </c>
      <c r="F70" s="203">
        <f>SUM(E61:F61)*C61+SUM(E62:F62)*C62+SUM(E63:F63)*C63+SUM(E64:F64)*C64+SUM(E65:F65)*C65+SUM(E66:F66)*C66+SUM(E67:F67)*C67</f>
        <v>0</v>
      </c>
      <c r="G70" s="203">
        <f>SUM(E61:G61)*C61+SUM(E62:G62)*C62+SUM(E63:G63)*C63+SUM(E64:G64)*C64+SUM(E65:G65)*C65+SUM(E66:G66)*C66+SUM(E67:G67)*C67</f>
        <v>0</v>
      </c>
      <c r="H70" s="203">
        <f>SUM(E61:H61)*C61+SUM(E62:H62)*C62+SUM(E63:H63)*C63+SUM(E64:H64)*C64+SUM(E65:H65)*C65+SUM(E66:H66)*C66+SUM(E67:H67)*C67</f>
        <v>0</v>
      </c>
      <c r="I70" s="203">
        <f>SUM(E61:I61)*C61+SUM(E62:I62)*C62+SUM(E63:I63)*C63+SUM(E64:I64)*C64+SUM(E65:I65)*C65+SUM(E66:I66)*C66+SUM(E67:I67)*C67</f>
        <v>0</v>
      </c>
      <c r="J70" s="203">
        <f>SUM(E61:J61)*C61+SUM(E62:J62)*C62+SUM(E63:J63)*C63+SUM(E64:J64)*C64+SUM(E65:J65)*C65+SUM(E66:J66)*C66+SUM(E67:J67)*C67</f>
        <v>0</v>
      </c>
      <c r="K70" s="203">
        <f>SUM(E61:K61)*C61+SUM(E62:K62)*C62+SUM(E63:K63)*C63+SUM(E64:K64)*C64+SUM(E65:K65)*C65+SUM(E66:K66)*C66+SUM(E67:K67)*C67</f>
        <v>0</v>
      </c>
      <c r="L70" s="657">
        <f>SUM(E61:L61)*C61+SUM(E62:L62)*C62+SUM(E63:L63)*C63+SUM(E64:L64)*C64+SUM(E65:L65)*C65+SUM(E66:L66)*C66+SUM(E67:L67)*C67</f>
        <v>0</v>
      </c>
      <c r="M70" s="179"/>
      <c r="N70" s="179"/>
      <c r="O70" s="179"/>
    </row>
    <row r="71" spans="1:15" hidden="1" outlineLevel="1" x14ac:dyDescent="0.35">
      <c r="A71" s="104"/>
      <c r="B71" s="138"/>
      <c r="C71" s="200"/>
      <c r="D71" s="201"/>
      <c r="F71" s="202"/>
      <c r="G71" s="202"/>
      <c r="H71" s="202"/>
      <c r="I71" s="202"/>
      <c r="J71" s="202"/>
      <c r="K71" s="202"/>
      <c r="L71" s="203"/>
      <c r="M71" s="179"/>
      <c r="N71" s="179"/>
      <c r="O71" s="179"/>
    </row>
    <row r="72" spans="1:15" hidden="1" outlineLevel="1" x14ac:dyDescent="0.35">
      <c r="A72" s="152" t="s">
        <v>162</v>
      </c>
      <c r="B72" s="153"/>
      <c r="C72" s="153"/>
      <c r="D72" s="154">
        <f>'Übersicht TP '!B30</f>
        <v>0</v>
      </c>
      <c r="E72" s="156">
        <f>SUM(E73:E74)+E75</f>
        <v>0</v>
      </c>
      <c r="F72" s="156">
        <f t="shared" ref="F72" si="51">SUM(F73:F74)+F75</f>
        <v>0</v>
      </c>
      <c r="G72" s="156">
        <f t="shared" ref="G72" si="52">SUM(G73:G74)+G75</f>
        <v>0</v>
      </c>
      <c r="H72" s="156">
        <f t="shared" ref="H72" si="53">SUM(H73:H74)+H75</f>
        <v>0</v>
      </c>
      <c r="I72" s="156">
        <f t="shared" ref="I72" si="54">SUM(I73:I74)+I75</f>
        <v>0</v>
      </c>
      <c r="J72" s="156">
        <f t="shared" ref="J72" si="55">SUM(J73:J74)+J75</f>
        <v>0</v>
      </c>
      <c r="K72" s="156">
        <f t="shared" ref="K72" si="56">SUM(K73:K74)+K75</f>
        <v>0</v>
      </c>
      <c r="L72" s="156">
        <f t="shared" ref="L72" si="57">SUM(L73:L74)+L75</f>
        <v>0</v>
      </c>
      <c r="M72" s="716"/>
      <c r="N72" s="155">
        <f>SUM(E72:L72)</f>
        <v>0</v>
      </c>
      <c r="O72" s="157">
        <f>SUM(O73:O82)</f>
        <v>0</v>
      </c>
    </row>
    <row r="73" spans="1:15" hidden="1" outlineLevel="1" x14ac:dyDescent="0.35">
      <c r="A73" s="94"/>
      <c r="B73" s="158" t="s">
        <v>31</v>
      </c>
      <c r="C73" s="159">
        <v>0</v>
      </c>
      <c r="D73" s="160">
        <f>'Übersicht TP '!T30</f>
        <v>0</v>
      </c>
      <c r="E73" s="162"/>
      <c r="F73" s="163"/>
      <c r="G73" s="163"/>
      <c r="H73" s="163"/>
      <c r="I73" s="163"/>
      <c r="J73" s="163"/>
      <c r="K73" s="163"/>
      <c r="L73" s="164">
        <f>IFERROR(D73*0.2,"")</f>
        <v>0</v>
      </c>
      <c r="M73" s="717" t="str">
        <f>IF(SUM(E73:L73)='Übersicht TP '!T30,"korrekt","nicht übereinstimmend")</f>
        <v>korrekt</v>
      </c>
      <c r="N73" s="161">
        <f>SUM(E73:L73)</f>
        <v>0</v>
      </c>
      <c r="O73" s="165" t="str">
        <f>IFERROR(SUM(E73:L73)/$D$72,"N/A")</f>
        <v>N/A</v>
      </c>
    </row>
    <row r="74" spans="1:15" hidden="1" outlineLevel="1" x14ac:dyDescent="0.35">
      <c r="A74" s="94"/>
      <c r="B74" s="166" t="s">
        <v>161</v>
      </c>
      <c r="C74" s="167">
        <v>0</v>
      </c>
      <c r="D74" s="741"/>
      <c r="E74" s="169"/>
      <c r="F74" s="170"/>
      <c r="G74" s="170"/>
      <c r="H74" s="170"/>
      <c r="I74" s="170"/>
      <c r="J74" s="170"/>
      <c r="K74" s="170"/>
      <c r="L74" s="171"/>
      <c r="M74" s="168"/>
      <c r="N74" s="168">
        <f>SUM(E74:L74)</f>
        <v>0</v>
      </c>
      <c r="O74" s="165" t="str">
        <f>IFERROR(SUM(E74:L74)/$D$72,"N/A")</f>
        <v>N/A</v>
      </c>
    </row>
    <row r="75" spans="1:15" hidden="1" outlineLevel="1" x14ac:dyDescent="0.35">
      <c r="A75" s="172"/>
      <c r="B75" s="173"/>
      <c r="C75" s="174"/>
      <c r="D75" s="175"/>
      <c r="E75" s="177">
        <f>SUM(E76:E82)</f>
        <v>0</v>
      </c>
      <c r="F75" s="177">
        <f t="shared" ref="F75" si="58">SUM(F76:F82)</f>
        <v>0</v>
      </c>
      <c r="G75" s="177">
        <f t="shared" ref="G75" si="59">SUM(G76:G82)</f>
        <v>0</v>
      </c>
      <c r="H75" s="177">
        <f t="shared" ref="H75" si="60">SUM(H76:H82)</f>
        <v>0</v>
      </c>
      <c r="I75" s="177">
        <f t="shared" ref="I75" si="61">SUM(I76:I82)</f>
        <v>0</v>
      </c>
      <c r="J75" s="177">
        <f t="shared" ref="J75" si="62">SUM(J76:J82)</f>
        <v>0</v>
      </c>
      <c r="K75" s="177">
        <f t="shared" ref="K75" si="63">SUM(K76:K82)</f>
        <v>0</v>
      </c>
      <c r="L75" s="177">
        <f t="shared" ref="L75" si="64">SUM(L76:L82)</f>
        <v>0</v>
      </c>
      <c r="M75" s="176"/>
      <c r="N75" s="176"/>
      <c r="O75" s="165"/>
    </row>
    <row r="76" spans="1:15" hidden="1" outlineLevel="1" x14ac:dyDescent="0.35">
      <c r="A76" s="94"/>
      <c r="B76" s="180" t="s">
        <v>230</v>
      </c>
      <c r="C76" s="758"/>
      <c r="D76" s="737"/>
      <c r="E76" s="162"/>
      <c r="F76" s="163"/>
      <c r="G76" s="163"/>
      <c r="H76" s="163"/>
      <c r="I76" s="163"/>
      <c r="J76" s="163"/>
      <c r="K76" s="163"/>
      <c r="L76" s="164"/>
      <c r="M76" s="181"/>
      <c r="N76" s="181">
        <f t="shared" ref="N76:N82" si="65">SUM(E76:L76)</f>
        <v>0</v>
      </c>
      <c r="O76" s="165" t="str">
        <f t="shared" ref="O76:O82" si="66">IFERROR(SUM(E76:L76)/$D$72,"N/A")</f>
        <v>N/A</v>
      </c>
    </row>
    <row r="77" spans="1:15" hidden="1" outlineLevel="1" x14ac:dyDescent="0.35">
      <c r="A77" s="94"/>
      <c r="B77" s="182"/>
      <c r="C77" s="759"/>
      <c r="D77" s="738"/>
      <c r="E77" s="184"/>
      <c r="F77" s="185"/>
      <c r="G77" s="185"/>
      <c r="H77" s="185"/>
      <c r="I77" s="185"/>
      <c r="J77" s="185"/>
      <c r="K77" s="185"/>
      <c r="L77" s="186"/>
      <c r="M77" s="183"/>
      <c r="N77" s="183">
        <f t="shared" si="65"/>
        <v>0</v>
      </c>
      <c r="O77" s="165" t="str">
        <f t="shared" si="66"/>
        <v>N/A</v>
      </c>
    </row>
    <row r="78" spans="1:15" hidden="1" outlineLevel="1" x14ac:dyDescent="0.35">
      <c r="A78" s="94"/>
      <c r="B78" s="182"/>
      <c r="C78" s="759"/>
      <c r="D78" s="738"/>
      <c r="E78" s="184"/>
      <c r="F78" s="185"/>
      <c r="G78" s="185"/>
      <c r="H78" s="185"/>
      <c r="I78" s="185"/>
      <c r="J78" s="185"/>
      <c r="K78" s="185"/>
      <c r="L78" s="186"/>
      <c r="M78" s="183"/>
      <c r="N78" s="183">
        <f t="shared" si="65"/>
        <v>0</v>
      </c>
      <c r="O78" s="165" t="str">
        <f t="shared" si="66"/>
        <v>N/A</v>
      </c>
    </row>
    <row r="79" spans="1:15" hidden="1" outlineLevel="1" x14ac:dyDescent="0.35">
      <c r="A79" s="94"/>
      <c r="B79" s="182"/>
      <c r="C79" s="759"/>
      <c r="D79" s="738"/>
      <c r="E79" s="184"/>
      <c r="F79" s="185"/>
      <c r="G79" s="185"/>
      <c r="H79" s="185"/>
      <c r="I79" s="185"/>
      <c r="J79" s="185"/>
      <c r="K79" s="185"/>
      <c r="L79" s="186"/>
      <c r="M79" s="183"/>
      <c r="N79" s="183">
        <f t="shared" si="65"/>
        <v>0</v>
      </c>
      <c r="O79" s="165" t="str">
        <f t="shared" si="66"/>
        <v>N/A</v>
      </c>
    </row>
    <row r="80" spans="1:15" hidden="1" outlineLevel="1" x14ac:dyDescent="0.35">
      <c r="A80" s="94"/>
      <c r="B80" s="182"/>
      <c r="C80" s="759"/>
      <c r="D80" s="738"/>
      <c r="E80" s="184"/>
      <c r="F80" s="185"/>
      <c r="G80" s="185"/>
      <c r="H80" s="185"/>
      <c r="I80" s="185"/>
      <c r="J80" s="185"/>
      <c r="K80" s="185"/>
      <c r="L80" s="186"/>
      <c r="M80" s="183"/>
      <c r="N80" s="183">
        <f t="shared" si="65"/>
        <v>0</v>
      </c>
      <c r="O80" s="165" t="str">
        <f t="shared" si="66"/>
        <v>N/A</v>
      </c>
    </row>
    <row r="81" spans="1:15" hidden="1" outlineLevel="1" x14ac:dyDescent="0.35">
      <c r="A81" s="94"/>
      <c r="B81" s="182"/>
      <c r="C81" s="759"/>
      <c r="D81" s="739"/>
      <c r="E81" s="184"/>
      <c r="F81" s="185"/>
      <c r="G81" s="185"/>
      <c r="H81" s="185"/>
      <c r="I81" s="185"/>
      <c r="J81" s="185"/>
      <c r="K81" s="185"/>
      <c r="L81" s="186"/>
      <c r="M81" s="183"/>
      <c r="N81" s="183">
        <f t="shared" si="65"/>
        <v>0</v>
      </c>
      <c r="O81" s="165" t="str">
        <f t="shared" si="66"/>
        <v>N/A</v>
      </c>
    </row>
    <row r="82" spans="1:15" hidden="1" outlineLevel="1" x14ac:dyDescent="0.35">
      <c r="A82" s="100"/>
      <c r="B82" s="187"/>
      <c r="C82" s="760"/>
      <c r="D82" s="740"/>
      <c r="E82" s="169"/>
      <c r="F82" s="170"/>
      <c r="G82" s="170"/>
      <c r="H82" s="170"/>
      <c r="I82" s="170"/>
      <c r="J82" s="170"/>
      <c r="K82" s="170"/>
      <c r="L82" s="171"/>
      <c r="M82" s="188"/>
      <c r="N82" s="188">
        <f t="shared" si="65"/>
        <v>0</v>
      </c>
      <c r="O82" s="165" t="str">
        <f t="shared" si="66"/>
        <v>N/A</v>
      </c>
    </row>
    <row r="83" spans="1:15" hidden="1" outlineLevel="1" x14ac:dyDescent="0.35">
      <c r="A83" s="189" t="s">
        <v>20</v>
      </c>
      <c r="B83" s="190" t="s">
        <v>40</v>
      </c>
      <c r="C83" s="699"/>
      <c r="D83" s="191">
        <f>SUM(E83:L83)</f>
        <v>0</v>
      </c>
      <c r="E83" s="192">
        <f>E75*C83</f>
        <v>0</v>
      </c>
      <c r="F83" s="192">
        <f>(F75+E75)*C83</f>
        <v>0</v>
      </c>
      <c r="G83" s="192">
        <f>(G75+F75+E75)*C83</f>
        <v>0</v>
      </c>
      <c r="H83" s="192">
        <f>(H75+G75+F75+E75)*C83</f>
        <v>0</v>
      </c>
      <c r="I83" s="192">
        <f>(I75+H75+G75+F75+E75)*C83</f>
        <v>0</v>
      </c>
      <c r="J83" s="192">
        <f>(J75+I75+H75+G75+F75+E75)*C83</f>
        <v>0</v>
      </c>
      <c r="K83" s="192">
        <f>(K75+J75+I75+H75+G75+F75+E75)*C83</f>
        <v>0</v>
      </c>
      <c r="L83" s="193">
        <f>(L75+K75+J75+I75+H75+G75+F75+E75)*C83</f>
        <v>0</v>
      </c>
      <c r="M83" s="179"/>
      <c r="N83" s="179"/>
      <c r="O83" s="179"/>
    </row>
    <row r="84" spans="1:15" hidden="1" outlineLevel="1" x14ac:dyDescent="0.35">
      <c r="A84" s="194" t="s">
        <v>25</v>
      </c>
      <c r="B84" s="195" t="s">
        <v>236</v>
      </c>
      <c r="C84" s="196"/>
      <c r="D84" s="197">
        <f>SUM(E84:L84)</f>
        <v>0</v>
      </c>
      <c r="E84" s="198">
        <f>E72*C84</f>
        <v>0</v>
      </c>
      <c r="F84" s="198">
        <f>(F72+E72)*C84</f>
        <v>0</v>
      </c>
      <c r="G84" s="198">
        <f>(G72+F72+E72)*C84</f>
        <v>0</v>
      </c>
      <c r="H84" s="198">
        <f>(H72+G72+F72+E72)*C84</f>
        <v>0</v>
      </c>
      <c r="I84" s="198">
        <f>(I72+H72+G72+F72+E72)*C84</f>
        <v>0</v>
      </c>
      <c r="J84" s="198">
        <f>(J72+I72+H72+G72+F72+E72)*C84</f>
        <v>0</v>
      </c>
      <c r="K84" s="198">
        <f>(K72+J72+I72+H72+G72+F72+E72)*C84</f>
        <v>0</v>
      </c>
      <c r="L84" s="199">
        <f>(L72+K72+J72+I72+H72+G72+F72+E72)*C84</f>
        <v>0</v>
      </c>
      <c r="M84" s="179"/>
      <c r="N84" s="179"/>
      <c r="O84" s="179"/>
    </row>
    <row r="85" spans="1:15" hidden="1" outlineLevel="1" x14ac:dyDescent="0.35">
      <c r="A85" s="653" t="s">
        <v>27</v>
      </c>
      <c r="B85" s="654" t="s">
        <v>397</v>
      </c>
      <c r="C85" s="655"/>
      <c r="D85" s="656">
        <f>SUM(E85:L85)</f>
        <v>0</v>
      </c>
      <c r="E85" s="203">
        <f>SUMPRODUCT(E76:E82,C76:C82)</f>
        <v>0</v>
      </c>
      <c r="F85" s="203">
        <f>SUM(E76:F76)*C76+SUM(E77:F77)*C77+SUM(E78:F78)*C78+SUM(E79:F79)*C79+SUM(E80:F80)*C80+SUM(E81:F81)*C81+SUM(E82:F82)*C82</f>
        <v>0</v>
      </c>
      <c r="G85" s="203">
        <f>SUM(E76:G76)*C76+SUM(E77:G77)*C77+SUM(E78:G78)*C78+SUM(E79:G79)*C79+SUM(E80:G80)*C80+SUM(E81:G81)*C81+SUM(E82:G82)*C82</f>
        <v>0</v>
      </c>
      <c r="H85" s="203">
        <f>SUM(E76:H76)*C76+SUM(E77:H77)*C77+SUM(E78:H78)*C78+SUM(E79:H79)*C79+SUM(E80:H80)*C80+SUM(E81:H81)*C81+SUM(E82:H82)*C82</f>
        <v>0</v>
      </c>
      <c r="I85" s="203">
        <f>SUM(E76:I76)*C76+SUM(E77:I77)*C77+SUM(E78:I78)*C78+SUM(E79:I79)*C79+SUM(E80:I80)*C80+SUM(E81:I81)*C81+SUM(E82:I82)*C82</f>
        <v>0</v>
      </c>
      <c r="J85" s="203">
        <f>SUM(E76:J76)*C76+SUM(E77:J77)*C77+SUM(E78:J78)*C78+SUM(E79:J79)*C79+SUM(E80:J80)*C80+SUM(E81:J81)*C81+SUM(E82:J82)*C82</f>
        <v>0</v>
      </c>
      <c r="K85" s="203">
        <f>SUM(E76:K76)*C76+SUM(E77:K77)*C77+SUM(E78:K78)*C78+SUM(E79:K79)*C79+SUM(E80:K80)*C80+SUM(E81:K81)*C81+SUM(E82:K82)*C82</f>
        <v>0</v>
      </c>
      <c r="L85" s="657">
        <f>SUM(E76:L76)*C76+SUM(E77:L77)*C77+SUM(E78:L78)*C78+SUM(E79:L79)*C79+SUM(E80:L80)*C80+SUM(E81:L81)*C81+SUM(E82:L82)*C82</f>
        <v>0</v>
      </c>
      <c r="M85" s="179"/>
      <c r="N85" s="179"/>
      <c r="O85" s="179"/>
    </row>
    <row r="86" spans="1:15" hidden="1" outlineLevel="1" x14ac:dyDescent="0.35">
      <c r="A86" s="104"/>
      <c r="B86" s="138"/>
      <c r="C86" s="200"/>
      <c r="D86" s="201"/>
      <c r="F86" s="202"/>
      <c r="G86" s="202"/>
      <c r="H86" s="202"/>
      <c r="I86" s="202"/>
      <c r="J86" s="202"/>
      <c r="K86" s="202"/>
      <c r="L86" s="203"/>
      <c r="M86" s="179"/>
      <c r="N86" s="179"/>
      <c r="O86" s="179"/>
    </row>
    <row r="87" spans="1:15" hidden="1" outlineLevel="1" x14ac:dyDescent="0.35">
      <c r="A87" s="152" t="s">
        <v>170</v>
      </c>
      <c r="B87" s="153"/>
      <c r="C87" s="153"/>
      <c r="D87" s="154">
        <f>'Übersicht TP '!B31</f>
        <v>0</v>
      </c>
      <c r="E87" s="156">
        <f>SUM(E88:E89)+E90</f>
        <v>0</v>
      </c>
      <c r="F87" s="156">
        <f t="shared" ref="F87" si="67">SUM(F88:F89)+F90</f>
        <v>0</v>
      </c>
      <c r="G87" s="156">
        <f t="shared" ref="G87" si="68">SUM(G88:G89)+G90</f>
        <v>0</v>
      </c>
      <c r="H87" s="156">
        <f t="shared" ref="H87:L87" si="69">SUM(H88:H89)+H90</f>
        <v>0</v>
      </c>
      <c r="I87" s="156">
        <f t="shared" si="69"/>
        <v>0</v>
      </c>
      <c r="J87" s="156">
        <f t="shared" si="69"/>
        <v>0</v>
      </c>
      <c r="K87" s="156">
        <f t="shared" si="69"/>
        <v>0</v>
      </c>
      <c r="L87" s="156">
        <f t="shared" si="69"/>
        <v>0</v>
      </c>
      <c r="M87" s="716"/>
      <c r="N87" s="155">
        <f>SUM(E87:L87)</f>
        <v>0</v>
      </c>
      <c r="O87" s="157">
        <f>SUM(O88:O97)</f>
        <v>0</v>
      </c>
    </row>
    <row r="88" spans="1:15" hidden="1" outlineLevel="1" x14ac:dyDescent="0.35">
      <c r="A88" s="94"/>
      <c r="B88" s="158" t="s">
        <v>31</v>
      </c>
      <c r="C88" s="159">
        <v>0</v>
      </c>
      <c r="D88" s="160">
        <f>'Übersicht TP '!T31</f>
        <v>0</v>
      </c>
      <c r="E88" s="162"/>
      <c r="F88" s="163"/>
      <c r="G88" s="163"/>
      <c r="H88" s="163"/>
      <c r="I88" s="163"/>
      <c r="J88" s="163"/>
      <c r="K88" s="163"/>
      <c r="L88" s="164">
        <f>IFERROR(D88*0.2,"")</f>
        <v>0</v>
      </c>
      <c r="M88" s="717" t="str">
        <f>IF(SUM(E88:L88)='Übersicht TP '!T31,"korrekt","nicht übereinstimmend")</f>
        <v>korrekt</v>
      </c>
      <c r="N88" s="161">
        <f>SUM(E88:L88)</f>
        <v>0</v>
      </c>
      <c r="O88" s="165" t="str">
        <f>IFERROR(SUM(E88:L88)/$D$87,"N/A")</f>
        <v>N/A</v>
      </c>
    </row>
    <row r="89" spans="1:15" hidden="1" outlineLevel="1" x14ac:dyDescent="0.35">
      <c r="A89" s="94"/>
      <c r="B89" s="166" t="s">
        <v>161</v>
      </c>
      <c r="C89" s="167">
        <v>0</v>
      </c>
      <c r="D89" s="741"/>
      <c r="E89" s="169"/>
      <c r="F89" s="170"/>
      <c r="G89" s="170"/>
      <c r="H89" s="170"/>
      <c r="I89" s="170"/>
      <c r="J89" s="170"/>
      <c r="K89" s="170"/>
      <c r="L89" s="171"/>
      <c r="M89" s="168"/>
      <c r="N89" s="168">
        <f>SUM(E89:L89)</f>
        <v>0</v>
      </c>
      <c r="O89" s="165" t="str">
        <f>IFERROR(SUM(E89:L89)/$D$87,"N/A")</f>
        <v>N/A</v>
      </c>
    </row>
    <row r="90" spans="1:15" hidden="1" outlineLevel="1" x14ac:dyDescent="0.35">
      <c r="A90" s="172"/>
      <c r="B90" s="173"/>
      <c r="C90" s="174"/>
      <c r="D90" s="175"/>
      <c r="E90" s="177">
        <f>SUM(E91:E97)</f>
        <v>0</v>
      </c>
      <c r="F90" s="177">
        <f t="shared" ref="F90:L90" si="70">SUM(F91:F97)</f>
        <v>0</v>
      </c>
      <c r="G90" s="177">
        <f t="shared" si="70"/>
        <v>0</v>
      </c>
      <c r="H90" s="177">
        <f t="shared" si="70"/>
        <v>0</v>
      </c>
      <c r="I90" s="177">
        <f t="shared" si="70"/>
        <v>0</v>
      </c>
      <c r="J90" s="177">
        <f t="shared" si="70"/>
        <v>0</v>
      </c>
      <c r="K90" s="177">
        <f t="shared" si="70"/>
        <v>0</v>
      </c>
      <c r="L90" s="177">
        <f t="shared" si="70"/>
        <v>0</v>
      </c>
      <c r="M90" s="176"/>
      <c r="N90" s="176"/>
      <c r="O90" s="165"/>
    </row>
    <row r="91" spans="1:15" hidden="1" outlineLevel="1" x14ac:dyDescent="0.35">
      <c r="A91" s="94"/>
      <c r="B91" s="180" t="s">
        <v>230</v>
      </c>
      <c r="C91" s="758"/>
      <c r="D91" s="737"/>
      <c r="E91" s="162"/>
      <c r="F91" s="163"/>
      <c r="G91" s="163"/>
      <c r="H91" s="163"/>
      <c r="I91" s="163"/>
      <c r="J91" s="163"/>
      <c r="K91" s="163"/>
      <c r="L91" s="164"/>
      <c r="M91" s="181"/>
      <c r="N91" s="181">
        <f t="shared" ref="N91:N97" si="71">SUM(E91:L91)</f>
        <v>0</v>
      </c>
      <c r="O91" s="165" t="str">
        <f t="shared" ref="O91:O97" si="72">IFERROR(SUM(E91:L91)/$D$87,"N/A")</f>
        <v>N/A</v>
      </c>
    </row>
    <row r="92" spans="1:15" hidden="1" outlineLevel="1" x14ac:dyDescent="0.35">
      <c r="A92" s="94"/>
      <c r="B92" s="182"/>
      <c r="C92" s="759"/>
      <c r="D92" s="738"/>
      <c r="E92" s="184"/>
      <c r="F92" s="185"/>
      <c r="G92" s="185"/>
      <c r="H92" s="185"/>
      <c r="I92" s="185"/>
      <c r="J92" s="185"/>
      <c r="K92" s="185"/>
      <c r="L92" s="186"/>
      <c r="M92" s="183"/>
      <c r="N92" s="183">
        <f t="shared" si="71"/>
        <v>0</v>
      </c>
      <c r="O92" s="165" t="str">
        <f t="shared" si="72"/>
        <v>N/A</v>
      </c>
    </row>
    <row r="93" spans="1:15" hidden="1" outlineLevel="1" x14ac:dyDescent="0.35">
      <c r="A93" s="94"/>
      <c r="B93" s="182"/>
      <c r="C93" s="759"/>
      <c r="D93" s="738"/>
      <c r="E93" s="184"/>
      <c r="F93" s="185"/>
      <c r="G93" s="185"/>
      <c r="H93" s="185"/>
      <c r="I93" s="185"/>
      <c r="J93" s="185"/>
      <c r="K93" s="185"/>
      <c r="L93" s="186"/>
      <c r="M93" s="183"/>
      <c r="N93" s="183">
        <f t="shared" si="71"/>
        <v>0</v>
      </c>
      <c r="O93" s="165" t="str">
        <f t="shared" si="72"/>
        <v>N/A</v>
      </c>
    </row>
    <row r="94" spans="1:15" hidden="1" outlineLevel="1" x14ac:dyDescent="0.35">
      <c r="A94" s="94"/>
      <c r="B94" s="182"/>
      <c r="C94" s="759"/>
      <c r="D94" s="738"/>
      <c r="E94" s="184"/>
      <c r="F94" s="185"/>
      <c r="G94" s="185"/>
      <c r="H94" s="185"/>
      <c r="I94" s="185"/>
      <c r="J94" s="185"/>
      <c r="K94" s="185"/>
      <c r="L94" s="186"/>
      <c r="M94" s="183"/>
      <c r="N94" s="183">
        <f t="shared" si="71"/>
        <v>0</v>
      </c>
      <c r="O94" s="165" t="str">
        <f t="shared" si="72"/>
        <v>N/A</v>
      </c>
    </row>
    <row r="95" spans="1:15" hidden="1" outlineLevel="1" x14ac:dyDescent="0.35">
      <c r="A95" s="94"/>
      <c r="B95" s="182"/>
      <c r="C95" s="759"/>
      <c r="D95" s="738"/>
      <c r="E95" s="184"/>
      <c r="F95" s="185"/>
      <c r="G95" s="185"/>
      <c r="H95" s="185"/>
      <c r="I95" s="185"/>
      <c r="J95" s="185"/>
      <c r="K95" s="185"/>
      <c r="L95" s="186"/>
      <c r="M95" s="183"/>
      <c r="N95" s="183">
        <f t="shared" si="71"/>
        <v>0</v>
      </c>
      <c r="O95" s="165" t="str">
        <f t="shared" si="72"/>
        <v>N/A</v>
      </c>
    </row>
    <row r="96" spans="1:15" hidden="1" outlineLevel="1" x14ac:dyDescent="0.35">
      <c r="A96" s="94"/>
      <c r="B96" s="182"/>
      <c r="C96" s="759"/>
      <c r="D96" s="739"/>
      <c r="E96" s="184"/>
      <c r="F96" s="185"/>
      <c r="G96" s="185"/>
      <c r="H96" s="185"/>
      <c r="I96" s="185"/>
      <c r="J96" s="185"/>
      <c r="K96" s="185"/>
      <c r="L96" s="186"/>
      <c r="M96" s="183"/>
      <c r="N96" s="183">
        <f t="shared" si="71"/>
        <v>0</v>
      </c>
      <c r="O96" s="165" t="str">
        <f t="shared" si="72"/>
        <v>N/A</v>
      </c>
    </row>
    <row r="97" spans="1:15" hidden="1" outlineLevel="1" x14ac:dyDescent="0.35">
      <c r="A97" s="100"/>
      <c r="B97" s="187"/>
      <c r="C97" s="760"/>
      <c r="D97" s="740"/>
      <c r="E97" s="169"/>
      <c r="F97" s="170"/>
      <c r="G97" s="170"/>
      <c r="H97" s="170"/>
      <c r="I97" s="170"/>
      <c r="J97" s="170"/>
      <c r="K97" s="170"/>
      <c r="L97" s="171"/>
      <c r="M97" s="188"/>
      <c r="N97" s="188">
        <f t="shared" si="71"/>
        <v>0</v>
      </c>
      <c r="O97" s="165" t="str">
        <f t="shared" si="72"/>
        <v>N/A</v>
      </c>
    </row>
    <row r="98" spans="1:15" hidden="1" outlineLevel="1" x14ac:dyDescent="0.35">
      <c r="A98" s="189" t="s">
        <v>20</v>
      </c>
      <c r="B98" s="190" t="s">
        <v>40</v>
      </c>
      <c r="C98" s="699"/>
      <c r="D98" s="191">
        <f>SUM(E98:L98)</f>
        <v>0</v>
      </c>
      <c r="E98" s="192">
        <f>E90*C98</f>
        <v>0</v>
      </c>
      <c r="F98" s="192">
        <f>(F90+E90)*C98</f>
        <v>0</v>
      </c>
      <c r="G98" s="192">
        <f>(G90+F90+E90)*C98</f>
        <v>0</v>
      </c>
      <c r="H98" s="192">
        <f>(H90+G90+F90+E90)*C98</f>
        <v>0</v>
      </c>
      <c r="I98" s="192">
        <f>(I90+H90+G90+F90+E90)*C98</f>
        <v>0</v>
      </c>
      <c r="J98" s="192">
        <f>(J90+I90+H90+G90+F90+E90)*C98</f>
        <v>0</v>
      </c>
      <c r="K98" s="192">
        <f>(K90+J90+I90+H90+G90+F90+E90)*C98</f>
        <v>0</v>
      </c>
      <c r="L98" s="193">
        <f>(L90+K90+J90+I90+H90+G90+F90+E90)*C98</f>
        <v>0</v>
      </c>
      <c r="M98" s="179"/>
      <c r="N98" s="179"/>
      <c r="O98" s="179"/>
    </row>
    <row r="99" spans="1:15" hidden="1" outlineLevel="1" x14ac:dyDescent="0.35">
      <c r="A99" s="194" t="s">
        <v>25</v>
      </c>
      <c r="B99" s="195" t="s">
        <v>236</v>
      </c>
      <c r="C99" s="196"/>
      <c r="D99" s="197">
        <f>SUM(E99:L99)</f>
        <v>0</v>
      </c>
      <c r="E99" s="198">
        <f>E87*C99</f>
        <v>0</v>
      </c>
      <c r="F99" s="198">
        <f>(F87+E87)*C99</f>
        <v>0</v>
      </c>
      <c r="G99" s="198">
        <f>(G87+F87+E87)*C99</f>
        <v>0</v>
      </c>
      <c r="H99" s="198">
        <f>(H87+G87+F87+E87)*C99</f>
        <v>0</v>
      </c>
      <c r="I99" s="198">
        <f>(I87+H87+G87+F87+E87)*C99</f>
        <v>0</v>
      </c>
      <c r="J99" s="198">
        <f>(J87+I87+H87+G87+F87+E87)*C99</f>
        <v>0</v>
      </c>
      <c r="K99" s="198">
        <f>(K87+J87+I87+H87+G87+F87+E87)*C99</f>
        <v>0</v>
      </c>
      <c r="L99" s="199">
        <f>(L87+K87+J87+I87+H87+G87+F87+E87)*C99</f>
        <v>0</v>
      </c>
      <c r="M99" s="179"/>
      <c r="N99" s="179"/>
      <c r="O99" s="179"/>
    </row>
    <row r="100" spans="1:15" hidden="1" outlineLevel="1" x14ac:dyDescent="0.35">
      <c r="A100" s="653" t="s">
        <v>27</v>
      </c>
      <c r="B100" s="654" t="s">
        <v>397</v>
      </c>
      <c r="C100" s="655"/>
      <c r="D100" s="656">
        <f>SUM(E100:L100)</f>
        <v>0</v>
      </c>
      <c r="E100" s="203">
        <f>SUMPRODUCT(E91:E97,C91:C97)</f>
        <v>0</v>
      </c>
      <c r="F100" s="203">
        <f>SUM(E91:F91)*C91+SUM(E92:F92)*C92+SUM(E93:F93)*C93+SUM(E94:F94)*C94+SUM(E95:F95)*C95+SUM(E96:F96)*C96+SUM(E97:F97)*C97</f>
        <v>0</v>
      </c>
      <c r="G100" s="203">
        <f>SUM(E91:G91)*C91+SUM(E92:G92)*C92+SUM(E93:G93)*C93+SUM(E94:G94)*C94+SUM(E95:G95)*C95+SUM(E96:G96)*C96+SUM(E97:G97)*C97</f>
        <v>0</v>
      </c>
      <c r="H100" s="203">
        <f>SUM(E91:H91)*C91+SUM(E92:H92)*C92+SUM(E93:H93)*C93+SUM(E94:H94)*C94+SUM(E95:H95)*C95+SUM(E96:H96)*C96+SUM(E97:H97)*C97</f>
        <v>0</v>
      </c>
      <c r="I100" s="203">
        <f>SUM(E91:I91)*C91+SUM(E92:I92)*C92+SUM(E93:I93)*C93+SUM(E94:I94)*C94+SUM(E95:I95)*C95+SUM(E96:I96)*C96+SUM(E97:I97)*C97</f>
        <v>0</v>
      </c>
      <c r="J100" s="203">
        <f>SUM(E91:J91)*C91+SUM(E92:J92)*C92+SUM(E93:J93)*C93+SUM(E94:J94)*C94+SUM(E95:J95)*C95+SUM(E96:J96)*C96+SUM(E97:J97)*C97</f>
        <v>0</v>
      </c>
      <c r="K100" s="203">
        <f>SUM(E91:K91)*C91+SUM(E92:K92)*C92+SUM(E93:K93)*C93+SUM(E94:K94)*C94+SUM(E95:K95)*C95+SUM(E96:K96)*C96+SUM(E97:K97)*C97</f>
        <v>0</v>
      </c>
      <c r="L100" s="657">
        <f>SUM(E91:L91)*C91+SUM(E92:L92)*C92+SUM(E93:L93)*C93+SUM(E94:L94)*C94+SUM(E95:L95)*C95+SUM(E96:L96)*C96+SUM(E97:L97)*C97</f>
        <v>0</v>
      </c>
      <c r="M100" s="179"/>
      <c r="N100" s="179"/>
      <c r="O100" s="179"/>
    </row>
    <row r="101" spans="1:15" hidden="1" outlineLevel="1" x14ac:dyDescent="0.35">
      <c r="A101" s="104"/>
      <c r="B101" s="138"/>
      <c r="C101" s="200"/>
      <c r="D101" s="201"/>
      <c r="F101" s="202"/>
      <c r="G101" s="202"/>
      <c r="H101" s="202"/>
      <c r="I101" s="202"/>
      <c r="J101" s="202"/>
      <c r="K101" s="202"/>
      <c r="L101" s="203"/>
      <c r="M101" s="179"/>
      <c r="N101" s="179"/>
      <c r="O101" s="179"/>
    </row>
    <row r="102" spans="1:15" hidden="1" outlineLevel="1" x14ac:dyDescent="0.35">
      <c r="A102" s="152" t="s">
        <v>171</v>
      </c>
      <c r="B102" s="153"/>
      <c r="C102" s="153"/>
      <c r="D102" s="154">
        <f>'Übersicht TP '!B32</f>
        <v>0</v>
      </c>
      <c r="E102" s="156">
        <f>SUM(E103:E104)+E105</f>
        <v>0</v>
      </c>
      <c r="F102" s="156">
        <f t="shared" ref="F102" si="73">SUM(F103:F104)+F105</f>
        <v>0</v>
      </c>
      <c r="G102" s="156">
        <f t="shared" ref="G102" si="74">SUM(G103:G104)+G105</f>
        <v>0</v>
      </c>
      <c r="H102" s="156">
        <f t="shared" ref="H102:L102" si="75">SUM(H103:H104)+H105</f>
        <v>0</v>
      </c>
      <c r="I102" s="156">
        <f t="shared" si="75"/>
        <v>0</v>
      </c>
      <c r="J102" s="156">
        <f t="shared" si="75"/>
        <v>0</v>
      </c>
      <c r="K102" s="156">
        <f t="shared" si="75"/>
        <v>0</v>
      </c>
      <c r="L102" s="156">
        <f t="shared" si="75"/>
        <v>0</v>
      </c>
      <c r="M102" s="716"/>
      <c r="N102" s="155">
        <f>SUM(E102:L102)</f>
        <v>0</v>
      </c>
      <c r="O102" s="157">
        <f>SUM(O103:O112)</f>
        <v>0</v>
      </c>
    </row>
    <row r="103" spans="1:15" hidden="1" outlineLevel="1" x14ac:dyDescent="0.35">
      <c r="A103" s="94"/>
      <c r="B103" s="158" t="s">
        <v>31</v>
      </c>
      <c r="C103" s="159">
        <v>0</v>
      </c>
      <c r="D103" s="160">
        <f>'Übersicht TP '!T32</f>
        <v>0</v>
      </c>
      <c r="E103" s="162"/>
      <c r="F103" s="163"/>
      <c r="G103" s="163"/>
      <c r="H103" s="163"/>
      <c r="I103" s="163"/>
      <c r="J103" s="163"/>
      <c r="K103" s="163"/>
      <c r="L103" s="164">
        <f>IFERROR(D103*0.2,"")</f>
        <v>0</v>
      </c>
      <c r="M103" s="717" t="str">
        <f>IF(SUM(E103:L103)='Übersicht TP '!T32,"korrekt","nicht übereinstimmend")</f>
        <v>korrekt</v>
      </c>
      <c r="N103" s="161">
        <f>SUM(E103:L103)</f>
        <v>0</v>
      </c>
      <c r="O103" s="165" t="str">
        <f>IFERROR(SUM(E103:L103)/$D$102,"N/A")</f>
        <v>N/A</v>
      </c>
    </row>
    <row r="104" spans="1:15" hidden="1" outlineLevel="1" x14ac:dyDescent="0.35">
      <c r="A104" s="94"/>
      <c r="B104" s="166" t="s">
        <v>161</v>
      </c>
      <c r="C104" s="167">
        <v>0</v>
      </c>
      <c r="D104" s="741"/>
      <c r="E104" s="169"/>
      <c r="F104" s="170"/>
      <c r="G104" s="170"/>
      <c r="H104" s="170"/>
      <c r="I104" s="170"/>
      <c r="J104" s="170"/>
      <c r="K104" s="170"/>
      <c r="L104" s="171"/>
      <c r="M104" s="168"/>
      <c r="N104" s="168">
        <f>SUM(E104:L104)</f>
        <v>0</v>
      </c>
      <c r="O104" s="165" t="str">
        <f>IFERROR(SUM(E104:L104)/$D$102,"N/A")</f>
        <v>N/A</v>
      </c>
    </row>
    <row r="105" spans="1:15" hidden="1" outlineLevel="1" x14ac:dyDescent="0.35">
      <c r="A105" s="172"/>
      <c r="B105" s="173"/>
      <c r="C105" s="174"/>
      <c r="D105" s="175"/>
      <c r="E105" s="177">
        <f>SUM(E106:E112)</f>
        <v>0</v>
      </c>
      <c r="F105" s="177">
        <f t="shared" ref="F105:L105" si="76">SUM(F106:F112)</f>
        <v>0</v>
      </c>
      <c r="G105" s="177">
        <f t="shared" si="76"/>
        <v>0</v>
      </c>
      <c r="H105" s="177">
        <f t="shared" si="76"/>
        <v>0</v>
      </c>
      <c r="I105" s="177">
        <f t="shared" si="76"/>
        <v>0</v>
      </c>
      <c r="J105" s="177">
        <f t="shared" si="76"/>
        <v>0</v>
      </c>
      <c r="K105" s="177">
        <f t="shared" si="76"/>
        <v>0</v>
      </c>
      <c r="L105" s="177">
        <f t="shared" si="76"/>
        <v>0</v>
      </c>
      <c r="M105" s="176"/>
      <c r="N105" s="176"/>
      <c r="O105" s="165"/>
    </row>
    <row r="106" spans="1:15" hidden="1" outlineLevel="1" x14ac:dyDescent="0.35">
      <c r="A106" s="94"/>
      <c r="B106" s="180" t="s">
        <v>230</v>
      </c>
      <c r="C106" s="758"/>
      <c r="D106" s="737"/>
      <c r="E106" s="162"/>
      <c r="F106" s="163"/>
      <c r="G106" s="163"/>
      <c r="H106" s="163"/>
      <c r="I106" s="163"/>
      <c r="J106" s="163"/>
      <c r="K106" s="163"/>
      <c r="L106" s="164"/>
      <c r="M106" s="181"/>
      <c r="N106" s="181">
        <f t="shared" ref="N106:N112" si="77">SUM(E106:L106)</f>
        <v>0</v>
      </c>
      <c r="O106" s="165" t="str">
        <f t="shared" ref="O106:O112" si="78">IFERROR(SUM(E106:L106)/$D$102,"N/A")</f>
        <v>N/A</v>
      </c>
    </row>
    <row r="107" spans="1:15" hidden="1" outlineLevel="1" x14ac:dyDescent="0.35">
      <c r="A107" s="94"/>
      <c r="B107" s="182"/>
      <c r="C107" s="759"/>
      <c r="D107" s="738"/>
      <c r="E107" s="184"/>
      <c r="F107" s="185"/>
      <c r="G107" s="185"/>
      <c r="H107" s="185"/>
      <c r="I107" s="185"/>
      <c r="J107" s="185"/>
      <c r="K107" s="185"/>
      <c r="L107" s="186"/>
      <c r="M107" s="183"/>
      <c r="N107" s="183">
        <f t="shared" si="77"/>
        <v>0</v>
      </c>
      <c r="O107" s="165" t="str">
        <f t="shared" si="78"/>
        <v>N/A</v>
      </c>
    </row>
    <row r="108" spans="1:15" hidden="1" outlineLevel="1" x14ac:dyDescent="0.35">
      <c r="A108" s="94"/>
      <c r="B108" s="182"/>
      <c r="C108" s="759"/>
      <c r="D108" s="738"/>
      <c r="E108" s="184"/>
      <c r="F108" s="185"/>
      <c r="G108" s="185"/>
      <c r="H108" s="185"/>
      <c r="I108" s="185"/>
      <c r="J108" s="185"/>
      <c r="K108" s="185"/>
      <c r="L108" s="186"/>
      <c r="M108" s="183"/>
      <c r="N108" s="183">
        <f t="shared" si="77"/>
        <v>0</v>
      </c>
      <c r="O108" s="165" t="str">
        <f t="shared" si="78"/>
        <v>N/A</v>
      </c>
    </row>
    <row r="109" spans="1:15" hidden="1" outlineLevel="1" x14ac:dyDescent="0.35">
      <c r="A109" s="94"/>
      <c r="B109" s="182"/>
      <c r="C109" s="759"/>
      <c r="D109" s="738"/>
      <c r="E109" s="184"/>
      <c r="F109" s="185"/>
      <c r="G109" s="185"/>
      <c r="H109" s="185"/>
      <c r="I109" s="185"/>
      <c r="J109" s="185"/>
      <c r="K109" s="185"/>
      <c r="L109" s="186"/>
      <c r="M109" s="183"/>
      <c r="N109" s="183">
        <f t="shared" si="77"/>
        <v>0</v>
      </c>
      <c r="O109" s="165" t="str">
        <f t="shared" si="78"/>
        <v>N/A</v>
      </c>
    </row>
    <row r="110" spans="1:15" hidden="1" outlineLevel="1" x14ac:dyDescent="0.35">
      <c r="A110" s="94"/>
      <c r="B110" s="182"/>
      <c r="C110" s="759"/>
      <c r="D110" s="738"/>
      <c r="E110" s="184"/>
      <c r="F110" s="185"/>
      <c r="G110" s="185"/>
      <c r="H110" s="185"/>
      <c r="I110" s="185"/>
      <c r="J110" s="185"/>
      <c r="K110" s="185"/>
      <c r="L110" s="186"/>
      <c r="M110" s="183"/>
      <c r="N110" s="183">
        <f t="shared" si="77"/>
        <v>0</v>
      </c>
      <c r="O110" s="165" t="str">
        <f t="shared" si="78"/>
        <v>N/A</v>
      </c>
    </row>
    <row r="111" spans="1:15" hidden="1" outlineLevel="1" x14ac:dyDescent="0.35">
      <c r="A111" s="94"/>
      <c r="B111" s="182"/>
      <c r="C111" s="759"/>
      <c r="D111" s="739"/>
      <c r="E111" s="184"/>
      <c r="F111" s="185"/>
      <c r="G111" s="185"/>
      <c r="H111" s="185"/>
      <c r="I111" s="185"/>
      <c r="J111" s="185"/>
      <c r="K111" s="185"/>
      <c r="L111" s="186"/>
      <c r="M111" s="183"/>
      <c r="N111" s="183">
        <f t="shared" si="77"/>
        <v>0</v>
      </c>
      <c r="O111" s="165" t="str">
        <f t="shared" si="78"/>
        <v>N/A</v>
      </c>
    </row>
    <row r="112" spans="1:15" hidden="1" outlineLevel="1" x14ac:dyDescent="0.35">
      <c r="A112" s="100"/>
      <c r="B112" s="187"/>
      <c r="C112" s="760"/>
      <c r="D112" s="740"/>
      <c r="E112" s="169"/>
      <c r="F112" s="170"/>
      <c r="G112" s="170"/>
      <c r="H112" s="170"/>
      <c r="I112" s="170"/>
      <c r="J112" s="170"/>
      <c r="K112" s="170"/>
      <c r="L112" s="171"/>
      <c r="M112" s="188"/>
      <c r="N112" s="188">
        <f t="shared" si="77"/>
        <v>0</v>
      </c>
      <c r="O112" s="165" t="str">
        <f t="shared" si="78"/>
        <v>N/A</v>
      </c>
    </row>
    <row r="113" spans="1:15" hidden="1" outlineLevel="1" x14ac:dyDescent="0.35">
      <c r="A113" s="189" t="s">
        <v>20</v>
      </c>
      <c r="B113" s="190" t="s">
        <v>40</v>
      </c>
      <c r="C113" s="699"/>
      <c r="D113" s="191">
        <f>SUM(E113:L113)</f>
        <v>0</v>
      </c>
      <c r="E113" s="192">
        <f>E105*C113</f>
        <v>0</v>
      </c>
      <c r="F113" s="192">
        <f>(F105+E105)*C113</f>
        <v>0</v>
      </c>
      <c r="G113" s="192">
        <f>(G105+F105+E105)*C113</f>
        <v>0</v>
      </c>
      <c r="H113" s="192">
        <f>(H105+G105+F105+E105)*C113</f>
        <v>0</v>
      </c>
      <c r="I113" s="192">
        <f>(I105+H105+G105+F105+E105)*C113</f>
        <v>0</v>
      </c>
      <c r="J113" s="192">
        <f>(J105+I105+H105+G105+F105+E105)*C113</f>
        <v>0</v>
      </c>
      <c r="K113" s="192">
        <f>(K105+J105+I105+H105+G105+F105+E105)*C113</f>
        <v>0</v>
      </c>
      <c r="L113" s="193">
        <f>(L105+K105+J105+I105+H105+G105+F105+E105)*C113</f>
        <v>0</v>
      </c>
      <c r="M113" s="179"/>
      <c r="N113" s="179"/>
      <c r="O113" s="179"/>
    </row>
    <row r="114" spans="1:15" hidden="1" outlineLevel="1" x14ac:dyDescent="0.35">
      <c r="A114" s="194" t="s">
        <v>25</v>
      </c>
      <c r="B114" s="195" t="s">
        <v>236</v>
      </c>
      <c r="C114" s="196"/>
      <c r="D114" s="197">
        <f>SUM(E114:L114)</f>
        <v>0</v>
      </c>
      <c r="E114" s="198">
        <f>E102*C114</f>
        <v>0</v>
      </c>
      <c r="F114" s="198">
        <f>(F102+E102)*C114</f>
        <v>0</v>
      </c>
      <c r="G114" s="198">
        <f>(G102+F102+E102)*C114</f>
        <v>0</v>
      </c>
      <c r="H114" s="198">
        <f>(H102+G102+F102+E102)*C114</f>
        <v>0</v>
      </c>
      <c r="I114" s="198">
        <f>(I102+H102+G102+F102+E102)*C114</f>
        <v>0</v>
      </c>
      <c r="J114" s="198">
        <f>(J102+I102+H102+G102+F102+E102)*C114</f>
        <v>0</v>
      </c>
      <c r="K114" s="198">
        <f>(K102+J102+I102+H102+G102+F102+E102)*C114</f>
        <v>0</v>
      </c>
      <c r="L114" s="199">
        <f>(L102+K102+J102+I102+H102+G102+F102+E102)*C114</f>
        <v>0</v>
      </c>
      <c r="M114" s="179"/>
      <c r="N114" s="179"/>
      <c r="O114" s="179"/>
    </row>
    <row r="115" spans="1:15" hidden="1" outlineLevel="1" x14ac:dyDescent="0.35">
      <c r="A115" s="653" t="s">
        <v>27</v>
      </c>
      <c r="B115" s="654" t="s">
        <v>397</v>
      </c>
      <c r="C115" s="655"/>
      <c r="D115" s="656">
        <f>SUM(E115:L115)</f>
        <v>0</v>
      </c>
      <c r="E115" s="203">
        <f>SUMPRODUCT(E106:E112,C106:C112)</f>
        <v>0</v>
      </c>
      <c r="F115" s="203">
        <f>SUM(E106:F106)*C106+SUM(E107:F107)*C107+SUM(E108:F108)*C108+SUM(E109:F109)*C109+SUM(E110:F110)*C110+SUM(E111:F111)*C111+SUM(E112:F112)*C112</f>
        <v>0</v>
      </c>
      <c r="G115" s="203">
        <f>SUM(E106:G106)*C106+SUM(E107:G107)*C107+SUM(E108:G108)*C108+SUM(E109:G109)*C109+SUM(E110:G110)*C110+SUM(E111:G111)*C111+SUM(E112:G112)*C112</f>
        <v>0</v>
      </c>
      <c r="H115" s="203">
        <f>SUM(E106:H106)*C106+SUM(E107:H107)*C107+SUM(E108:H108)*C108+SUM(E109:H109)*C109+SUM(E110:H110)*C110+SUM(E111:H111)*C111+SUM(E112:H112)*C112</f>
        <v>0</v>
      </c>
      <c r="I115" s="203">
        <f>SUM(E106:I106)*C106+SUM(E107:I107)*C107+SUM(E108:I108)*C108+SUM(E109:I109)*C109+SUM(E110:I110)*C110+SUM(E111:I111)*C111+SUM(E112:I112)*C112</f>
        <v>0</v>
      </c>
      <c r="J115" s="203">
        <f>SUM(E106:J106)*C106+SUM(E107:J107)*C107+SUM(E108:J108)*C108+SUM(E109:J109)*C109+SUM(E110:J110)*C110+SUM(E111:J111)*C111+SUM(E112:J112)*C112</f>
        <v>0</v>
      </c>
      <c r="K115" s="203">
        <f>SUM(E106:K106)*C106+SUM(E107:K107)*C107+SUM(E108:K108)*C108+SUM(E109:K109)*C109+SUM(E110:K110)*C110+SUM(E111:K111)*C111+SUM(E112:K112)*C112</f>
        <v>0</v>
      </c>
      <c r="L115" s="657">
        <f>SUM(E106:L106)*C106+SUM(E107:L107)*C107+SUM(E108:L108)*C108+SUM(E109:L109)*C109+SUM(E110:L110)*C110+SUM(E111:L111)*C111+SUM(E112:L112)*C112</f>
        <v>0</v>
      </c>
      <c r="M115" s="179"/>
      <c r="N115" s="179"/>
      <c r="O115" s="179"/>
    </row>
    <row r="116" spans="1:15" hidden="1" outlineLevel="1" x14ac:dyDescent="0.35">
      <c r="A116" s="104"/>
      <c r="B116" s="138"/>
      <c r="C116" s="200"/>
      <c r="D116" s="201"/>
      <c r="F116" s="202"/>
      <c r="G116" s="202"/>
      <c r="H116" s="202"/>
      <c r="I116" s="202"/>
      <c r="J116" s="202"/>
      <c r="K116" s="202"/>
      <c r="L116" s="203"/>
      <c r="M116" s="179"/>
      <c r="N116" s="179"/>
      <c r="O116" s="179"/>
    </row>
    <row r="117" spans="1:15" hidden="1" outlineLevel="1" x14ac:dyDescent="0.35">
      <c r="A117" s="152" t="s">
        <v>172</v>
      </c>
      <c r="B117" s="153"/>
      <c r="C117" s="153"/>
      <c r="D117" s="154">
        <f>'Übersicht TP '!B33</f>
        <v>0</v>
      </c>
      <c r="E117" s="156">
        <f>SUM(E118:E119)+E120</f>
        <v>0</v>
      </c>
      <c r="F117" s="156">
        <f t="shared" ref="F117" si="79">SUM(F118:F119)+F120</f>
        <v>0</v>
      </c>
      <c r="G117" s="156">
        <f t="shared" ref="G117" si="80">SUM(G118:G119)+G120</f>
        <v>0</v>
      </c>
      <c r="H117" s="156">
        <f t="shared" ref="H117:L117" si="81">SUM(H118:H119)+H120</f>
        <v>0</v>
      </c>
      <c r="I117" s="156">
        <f t="shared" si="81"/>
        <v>0</v>
      </c>
      <c r="J117" s="156">
        <f t="shared" si="81"/>
        <v>0</v>
      </c>
      <c r="K117" s="156">
        <f t="shared" si="81"/>
        <v>0</v>
      </c>
      <c r="L117" s="156">
        <f t="shared" si="81"/>
        <v>0</v>
      </c>
      <c r="M117" s="716"/>
      <c r="N117" s="155">
        <f>SUM(E117:L117)</f>
        <v>0</v>
      </c>
      <c r="O117" s="157">
        <f>SUM(O118:O127)</f>
        <v>0</v>
      </c>
    </row>
    <row r="118" spans="1:15" hidden="1" outlineLevel="1" x14ac:dyDescent="0.35">
      <c r="A118" s="94"/>
      <c r="B118" s="158" t="s">
        <v>31</v>
      </c>
      <c r="C118" s="159">
        <v>0</v>
      </c>
      <c r="D118" s="160">
        <f>'Übersicht TP '!T33</f>
        <v>0</v>
      </c>
      <c r="E118" s="162"/>
      <c r="F118" s="163"/>
      <c r="G118" s="163"/>
      <c r="H118" s="163"/>
      <c r="I118" s="163"/>
      <c r="J118" s="163"/>
      <c r="K118" s="163"/>
      <c r="L118" s="164">
        <f>IFERROR(D118*0.2,"")</f>
        <v>0</v>
      </c>
      <c r="M118" s="717" t="str">
        <f>IF(SUM(E118:L118)='Übersicht TP '!T33,"korrekt","nicht übereinstimmend")</f>
        <v>korrekt</v>
      </c>
      <c r="N118" s="161">
        <f>SUM(E118:L118)</f>
        <v>0</v>
      </c>
      <c r="O118" s="165" t="str">
        <f>IFERROR(SUM(E118:L118)/$D$117,"N/A")</f>
        <v>N/A</v>
      </c>
    </row>
    <row r="119" spans="1:15" hidden="1" outlineLevel="1" x14ac:dyDescent="0.35">
      <c r="A119" s="94"/>
      <c r="B119" s="166" t="s">
        <v>161</v>
      </c>
      <c r="C119" s="167">
        <v>0</v>
      </c>
      <c r="D119" s="741"/>
      <c r="E119" s="169"/>
      <c r="F119" s="170"/>
      <c r="G119" s="170"/>
      <c r="H119" s="170"/>
      <c r="I119" s="170"/>
      <c r="J119" s="170"/>
      <c r="K119" s="170"/>
      <c r="L119" s="171"/>
      <c r="M119" s="168"/>
      <c r="N119" s="168">
        <f>SUM(E119:L119)</f>
        <v>0</v>
      </c>
      <c r="O119" s="165" t="str">
        <f>IFERROR(SUM(E119:L119)/$D$117,"N/A")</f>
        <v>N/A</v>
      </c>
    </row>
    <row r="120" spans="1:15" hidden="1" outlineLevel="1" x14ac:dyDescent="0.35">
      <c r="A120" s="172"/>
      <c r="B120" s="173"/>
      <c r="C120" s="174"/>
      <c r="D120" s="175"/>
      <c r="E120" s="177">
        <f>SUM(E121:E127)</f>
        <v>0</v>
      </c>
      <c r="F120" s="177">
        <f t="shared" ref="F120:L120" si="82">SUM(F121:F127)</f>
        <v>0</v>
      </c>
      <c r="G120" s="177">
        <f t="shared" si="82"/>
        <v>0</v>
      </c>
      <c r="H120" s="177">
        <f t="shared" si="82"/>
        <v>0</v>
      </c>
      <c r="I120" s="177">
        <f t="shared" si="82"/>
        <v>0</v>
      </c>
      <c r="J120" s="177">
        <f t="shared" si="82"/>
        <v>0</v>
      </c>
      <c r="K120" s="177">
        <f t="shared" si="82"/>
        <v>0</v>
      </c>
      <c r="L120" s="177">
        <f t="shared" si="82"/>
        <v>0</v>
      </c>
      <c r="M120" s="176"/>
      <c r="N120" s="176"/>
      <c r="O120" s="165"/>
    </row>
    <row r="121" spans="1:15" hidden="1" outlineLevel="1" x14ac:dyDescent="0.35">
      <c r="A121" s="94"/>
      <c r="B121" s="180" t="s">
        <v>30</v>
      </c>
      <c r="C121" s="758"/>
      <c r="D121" s="737"/>
      <c r="E121" s="162"/>
      <c r="F121" s="163"/>
      <c r="G121" s="163"/>
      <c r="H121" s="163"/>
      <c r="I121" s="163"/>
      <c r="J121" s="163"/>
      <c r="K121" s="163"/>
      <c r="L121" s="164"/>
      <c r="M121" s="181"/>
      <c r="N121" s="181">
        <f t="shared" ref="N121:N127" si="83">SUM(E121:L121)</f>
        <v>0</v>
      </c>
      <c r="O121" s="165" t="str">
        <f t="shared" ref="O121:O127" si="84">IFERROR(SUM(E121:L121)/$D$117,"N/A")</f>
        <v>N/A</v>
      </c>
    </row>
    <row r="122" spans="1:15" hidden="1" outlineLevel="1" x14ac:dyDescent="0.35">
      <c r="A122" s="94"/>
      <c r="B122" s="182" t="s">
        <v>23</v>
      </c>
      <c r="C122" s="759"/>
      <c r="D122" s="738"/>
      <c r="E122" s="184"/>
      <c r="F122" s="185"/>
      <c r="G122" s="185"/>
      <c r="H122" s="185"/>
      <c r="I122" s="185"/>
      <c r="J122" s="185"/>
      <c r="K122" s="185"/>
      <c r="L122" s="186"/>
      <c r="M122" s="183"/>
      <c r="N122" s="183">
        <f t="shared" si="83"/>
        <v>0</v>
      </c>
      <c r="O122" s="165" t="str">
        <f t="shared" si="84"/>
        <v>N/A</v>
      </c>
    </row>
    <row r="123" spans="1:15" hidden="1" outlineLevel="1" x14ac:dyDescent="0.35">
      <c r="A123" s="94"/>
      <c r="B123" s="182" t="s">
        <v>30</v>
      </c>
      <c r="C123" s="759"/>
      <c r="D123" s="738"/>
      <c r="E123" s="184"/>
      <c r="F123" s="185"/>
      <c r="G123" s="185"/>
      <c r="H123" s="185"/>
      <c r="I123" s="185"/>
      <c r="J123" s="185"/>
      <c r="K123" s="185"/>
      <c r="L123" s="186"/>
      <c r="M123" s="183"/>
      <c r="N123" s="183">
        <f t="shared" si="83"/>
        <v>0</v>
      </c>
      <c r="O123" s="165" t="str">
        <f t="shared" si="84"/>
        <v>N/A</v>
      </c>
    </row>
    <row r="124" spans="1:15" hidden="1" outlineLevel="1" x14ac:dyDescent="0.35">
      <c r="A124" s="94"/>
      <c r="B124" s="182"/>
      <c r="C124" s="759"/>
      <c r="D124" s="738"/>
      <c r="E124" s="184"/>
      <c r="F124" s="185"/>
      <c r="G124" s="185"/>
      <c r="H124" s="185"/>
      <c r="I124" s="185"/>
      <c r="J124" s="185"/>
      <c r="K124" s="185"/>
      <c r="L124" s="186"/>
      <c r="M124" s="183"/>
      <c r="N124" s="183">
        <f t="shared" si="83"/>
        <v>0</v>
      </c>
      <c r="O124" s="165" t="str">
        <f t="shared" si="84"/>
        <v>N/A</v>
      </c>
    </row>
    <row r="125" spans="1:15" hidden="1" outlineLevel="1" x14ac:dyDescent="0.35">
      <c r="A125" s="94"/>
      <c r="B125" s="182"/>
      <c r="C125" s="759"/>
      <c r="D125" s="738"/>
      <c r="E125" s="184"/>
      <c r="F125" s="185"/>
      <c r="G125" s="185"/>
      <c r="H125" s="185"/>
      <c r="I125" s="185"/>
      <c r="J125" s="185"/>
      <c r="K125" s="185"/>
      <c r="L125" s="186"/>
      <c r="M125" s="183"/>
      <c r="N125" s="183">
        <f t="shared" si="83"/>
        <v>0</v>
      </c>
      <c r="O125" s="165" t="str">
        <f t="shared" si="84"/>
        <v>N/A</v>
      </c>
    </row>
    <row r="126" spans="1:15" hidden="1" outlineLevel="1" x14ac:dyDescent="0.35">
      <c r="A126" s="94"/>
      <c r="B126" s="182"/>
      <c r="C126" s="759"/>
      <c r="D126" s="739"/>
      <c r="E126" s="184"/>
      <c r="F126" s="185"/>
      <c r="G126" s="185"/>
      <c r="H126" s="185"/>
      <c r="I126" s="185"/>
      <c r="J126" s="185"/>
      <c r="K126" s="185"/>
      <c r="L126" s="186"/>
      <c r="M126" s="183"/>
      <c r="N126" s="183">
        <f t="shared" si="83"/>
        <v>0</v>
      </c>
      <c r="O126" s="165" t="str">
        <f t="shared" si="84"/>
        <v>N/A</v>
      </c>
    </row>
    <row r="127" spans="1:15" hidden="1" outlineLevel="1" x14ac:dyDescent="0.35">
      <c r="A127" s="100"/>
      <c r="B127" s="187"/>
      <c r="C127" s="760"/>
      <c r="D127" s="740"/>
      <c r="E127" s="169"/>
      <c r="F127" s="170"/>
      <c r="G127" s="170"/>
      <c r="H127" s="170"/>
      <c r="I127" s="170"/>
      <c r="J127" s="170"/>
      <c r="K127" s="170"/>
      <c r="L127" s="171"/>
      <c r="M127" s="188"/>
      <c r="N127" s="188">
        <f t="shared" si="83"/>
        <v>0</v>
      </c>
      <c r="O127" s="165" t="str">
        <f t="shared" si="84"/>
        <v>N/A</v>
      </c>
    </row>
    <row r="128" spans="1:15" hidden="1" outlineLevel="1" x14ac:dyDescent="0.35">
      <c r="A128" s="189" t="s">
        <v>20</v>
      </c>
      <c r="B128" s="190" t="s">
        <v>40</v>
      </c>
      <c r="C128" s="699"/>
      <c r="D128" s="191">
        <f>SUM(E128:L128)</f>
        <v>0</v>
      </c>
      <c r="E128" s="192">
        <f>E120*C128</f>
        <v>0</v>
      </c>
      <c r="F128" s="192">
        <f>(F120+E120)*C128</f>
        <v>0</v>
      </c>
      <c r="G128" s="192">
        <f>(G120+F120+E120)*C128</f>
        <v>0</v>
      </c>
      <c r="H128" s="192">
        <f>(H120+G120+F120+E120)*C128</f>
        <v>0</v>
      </c>
      <c r="I128" s="192">
        <f>(I120+H120+G120+F120+E120)*C128</f>
        <v>0</v>
      </c>
      <c r="J128" s="192">
        <f>(J120+I120+H120+G120+F120+E120)*C128</f>
        <v>0</v>
      </c>
      <c r="K128" s="192">
        <f>(K120+J120+I120+H120+G120+F120+E120)*C128</f>
        <v>0</v>
      </c>
      <c r="L128" s="193">
        <f>(L120+K120+J120+I120+H120+G120+F120+E120)*C128</f>
        <v>0</v>
      </c>
      <c r="M128" s="179"/>
      <c r="N128" s="179"/>
      <c r="O128" s="179"/>
    </row>
    <row r="129" spans="1:15" hidden="1" outlineLevel="1" x14ac:dyDescent="0.35">
      <c r="A129" s="194" t="s">
        <v>25</v>
      </c>
      <c r="B129" s="195" t="s">
        <v>236</v>
      </c>
      <c r="C129" s="196"/>
      <c r="D129" s="197">
        <f>SUM(E129:L129)</f>
        <v>0</v>
      </c>
      <c r="E129" s="198">
        <f>E117*C129</f>
        <v>0</v>
      </c>
      <c r="F129" s="198">
        <f>(F117+E117)*C129</f>
        <v>0</v>
      </c>
      <c r="G129" s="198">
        <f>(G117+F117+E117)*C129</f>
        <v>0</v>
      </c>
      <c r="H129" s="198">
        <f>(H117+G117+F117+E117)*C129</f>
        <v>0</v>
      </c>
      <c r="I129" s="198">
        <f>(I117+H117+G117+F117+E117)*C129</f>
        <v>0</v>
      </c>
      <c r="J129" s="198">
        <f>(J117+I117+H117+G117+F117+E117)*C129</f>
        <v>0</v>
      </c>
      <c r="K129" s="198">
        <f>(K117+J117+I117+H117+G117+F117+E117)*C129</f>
        <v>0</v>
      </c>
      <c r="L129" s="199">
        <f>(L117+K117+J117+I117+H117+G117+F117+E117)*C129</f>
        <v>0</v>
      </c>
      <c r="M129" s="179"/>
      <c r="N129" s="179"/>
      <c r="O129" s="179"/>
    </row>
    <row r="130" spans="1:15" hidden="1" outlineLevel="1" x14ac:dyDescent="0.35">
      <c r="A130" s="653" t="s">
        <v>27</v>
      </c>
      <c r="B130" s="654" t="s">
        <v>397</v>
      </c>
      <c r="C130" s="655"/>
      <c r="D130" s="656">
        <f>SUM(E130:L130)</f>
        <v>0</v>
      </c>
      <c r="E130" s="203">
        <f>SUMPRODUCT(E121:E127,C121:C127)</f>
        <v>0</v>
      </c>
      <c r="F130" s="203">
        <f>SUM(E121:F121)*C121+SUM(E122:F122)*C122+SUM(E123:F123)*C123+SUM(E124:F124)*C124+SUM(E125:F125)*C125+SUM(E126:F126)*C126+SUM(E127:F127)*C127</f>
        <v>0</v>
      </c>
      <c r="G130" s="203">
        <f>SUM(E121:G121)*C121+SUM(E122:G122)*C122+SUM(E123:G123)*C123+SUM(E124:G124)*C124+SUM(E125:G125)*C125+SUM(E126:G126)*C126+SUM(E127:G127)*C127</f>
        <v>0</v>
      </c>
      <c r="H130" s="203">
        <f>SUM(E121:H121)*C121+SUM(E122:H122)*C122+SUM(E123:H123)*C123+SUM(E124:H124)*C124+SUM(E125:H125)*C125+SUM(E126:H126)*C126+SUM(E127:H127)*C127</f>
        <v>0</v>
      </c>
      <c r="I130" s="203">
        <f>SUM(E121:I121)*C121+SUM(E122:I122)*C122+SUM(E123:I123)*C123+SUM(E124:I124)*C124+SUM(E125:I125)*C125+SUM(E126:I126)*C126+SUM(E127:I127)*C127</f>
        <v>0</v>
      </c>
      <c r="J130" s="203">
        <f>SUM(E121:J121)*C121+SUM(E122:J122)*C122+SUM(E123:J123)*C123+SUM(E124:J124)*C124+SUM(E125:J125)*C125+SUM(E126:J126)*C126+SUM(E127:J127)*C127</f>
        <v>0</v>
      </c>
      <c r="K130" s="203">
        <f>SUM(E121:K121)*C121+SUM(E122:K122)*C122+SUM(E123:K123)*C123+SUM(E124:K124)*C124+SUM(E125:K125)*C125+SUM(E126:K126)*C126+SUM(E127:K127)*C127</f>
        <v>0</v>
      </c>
      <c r="L130" s="657">
        <f>SUM(E121:L121)*C121+SUM(E122:L122)*C122+SUM(E123:L123)*C123+SUM(E124:L124)*C124+SUM(E125:L125)*C125+SUM(E126:L126)*C126+SUM(E127:L127)*C127</f>
        <v>0</v>
      </c>
      <c r="M130" s="179"/>
      <c r="N130" s="179"/>
      <c r="O130" s="179"/>
    </row>
    <row r="131" spans="1:15" hidden="1" outlineLevel="1" x14ac:dyDescent="0.35">
      <c r="A131" s="104"/>
      <c r="B131" s="138"/>
      <c r="C131" s="200"/>
      <c r="D131" s="201"/>
      <c r="F131" s="202"/>
      <c r="G131" s="202"/>
      <c r="H131" s="202"/>
      <c r="I131" s="202"/>
      <c r="J131" s="202"/>
      <c r="K131" s="202"/>
      <c r="L131" s="203"/>
      <c r="M131" s="179"/>
      <c r="N131" s="179"/>
      <c r="O131" s="179"/>
    </row>
    <row r="132" spans="1:15" hidden="1" outlineLevel="1" x14ac:dyDescent="0.35">
      <c r="A132" s="152" t="s">
        <v>232</v>
      </c>
      <c r="B132" s="153"/>
      <c r="C132" s="153"/>
      <c r="D132" s="154">
        <f>'Übersicht TP '!B34</f>
        <v>0</v>
      </c>
      <c r="E132" s="156">
        <f>SUM(E133:E134)+E135</f>
        <v>0</v>
      </c>
      <c r="F132" s="156">
        <f t="shared" ref="F132" si="85">SUM(F133:F134)+F135</f>
        <v>0</v>
      </c>
      <c r="G132" s="156">
        <f t="shared" ref="G132" si="86">SUM(G133:G134)+G135</f>
        <v>0</v>
      </c>
      <c r="H132" s="156">
        <f t="shared" ref="H132:L132" si="87">SUM(H133:H134)+H135</f>
        <v>0</v>
      </c>
      <c r="I132" s="156">
        <f t="shared" si="87"/>
        <v>0</v>
      </c>
      <c r="J132" s="156">
        <f t="shared" si="87"/>
        <v>0</v>
      </c>
      <c r="K132" s="156">
        <f t="shared" si="87"/>
        <v>0</v>
      </c>
      <c r="L132" s="156">
        <f t="shared" si="87"/>
        <v>0</v>
      </c>
      <c r="M132" s="716"/>
      <c r="N132" s="155">
        <f>SUM(E132:L132)</f>
        <v>0</v>
      </c>
      <c r="O132" s="157">
        <f>SUM(O133:O142)</f>
        <v>0</v>
      </c>
    </row>
    <row r="133" spans="1:15" hidden="1" outlineLevel="1" x14ac:dyDescent="0.35">
      <c r="A133" s="94"/>
      <c r="B133" s="158" t="s">
        <v>31</v>
      </c>
      <c r="C133" s="159">
        <v>0</v>
      </c>
      <c r="D133" s="160">
        <f>'Übersicht TP '!T34</f>
        <v>0</v>
      </c>
      <c r="E133" s="162"/>
      <c r="F133" s="163"/>
      <c r="G133" s="163"/>
      <c r="H133" s="163"/>
      <c r="I133" s="163"/>
      <c r="J133" s="163"/>
      <c r="K133" s="163"/>
      <c r="L133" s="164">
        <f>IFERROR(D133*0.2,"")</f>
        <v>0</v>
      </c>
      <c r="M133" s="717" t="str">
        <f>IF(SUM(E133:L133)='Übersicht TP '!T34,"korrekt","nicht übereinstimmend")</f>
        <v>korrekt</v>
      </c>
      <c r="N133" s="161">
        <f>SUM(E133:L133)</f>
        <v>0</v>
      </c>
      <c r="O133" s="165" t="str">
        <f>IFERROR(SUM(E133:L133)/$D$132,"N/A")</f>
        <v>N/A</v>
      </c>
    </row>
    <row r="134" spans="1:15" hidden="1" outlineLevel="1" x14ac:dyDescent="0.35">
      <c r="A134" s="94"/>
      <c r="B134" s="166" t="s">
        <v>161</v>
      </c>
      <c r="C134" s="167">
        <v>0</v>
      </c>
      <c r="D134" s="741"/>
      <c r="E134" s="169"/>
      <c r="F134" s="170"/>
      <c r="G134" s="170"/>
      <c r="H134" s="170"/>
      <c r="I134" s="170"/>
      <c r="J134" s="170"/>
      <c r="K134" s="170"/>
      <c r="L134" s="171"/>
      <c r="M134" s="168"/>
      <c r="N134" s="168">
        <f>SUM(E134:L134)</f>
        <v>0</v>
      </c>
      <c r="O134" s="165" t="str">
        <f>IFERROR(SUM(E134:L134)/$D$132,"N/A")</f>
        <v>N/A</v>
      </c>
    </row>
    <row r="135" spans="1:15" hidden="1" outlineLevel="1" x14ac:dyDescent="0.35">
      <c r="A135" s="172"/>
      <c r="B135" s="173"/>
      <c r="C135" s="174"/>
      <c r="D135" s="175"/>
      <c r="E135" s="177">
        <f>SUM(E136:E142)</f>
        <v>0</v>
      </c>
      <c r="F135" s="177">
        <f t="shared" ref="F135:L135" si="88">SUM(F136:F142)</f>
        <v>0</v>
      </c>
      <c r="G135" s="177">
        <f t="shared" si="88"/>
        <v>0</v>
      </c>
      <c r="H135" s="177">
        <f t="shared" si="88"/>
        <v>0</v>
      </c>
      <c r="I135" s="177">
        <f t="shared" si="88"/>
        <v>0</v>
      </c>
      <c r="J135" s="177">
        <f t="shared" si="88"/>
        <v>0</v>
      </c>
      <c r="K135" s="177">
        <f t="shared" si="88"/>
        <v>0</v>
      </c>
      <c r="L135" s="177">
        <f t="shared" si="88"/>
        <v>0</v>
      </c>
      <c r="M135" s="176"/>
      <c r="N135" s="176"/>
      <c r="O135" s="165"/>
    </row>
    <row r="136" spans="1:15" hidden="1" outlineLevel="1" x14ac:dyDescent="0.35">
      <c r="A136" s="94"/>
      <c r="B136" s="180" t="s">
        <v>230</v>
      </c>
      <c r="C136" s="758"/>
      <c r="D136" s="737"/>
      <c r="E136" s="162"/>
      <c r="F136" s="163"/>
      <c r="G136" s="163"/>
      <c r="H136" s="163"/>
      <c r="I136" s="163"/>
      <c r="J136" s="163"/>
      <c r="K136" s="163"/>
      <c r="L136" s="164"/>
      <c r="M136" s="181"/>
      <c r="N136" s="181">
        <f t="shared" ref="N136:N142" si="89">SUM(E136:L136)</f>
        <v>0</v>
      </c>
      <c r="O136" s="165" t="str">
        <f t="shared" ref="O136:O142" si="90">IFERROR(SUM(E136:L136)/$D$132,"N/A")</f>
        <v>N/A</v>
      </c>
    </row>
    <row r="137" spans="1:15" hidden="1" outlineLevel="1" x14ac:dyDescent="0.35">
      <c r="A137" s="94"/>
      <c r="B137" s="182"/>
      <c r="C137" s="759"/>
      <c r="D137" s="738"/>
      <c r="E137" s="184"/>
      <c r="F137" s="185"/>
      <c r="G137" s="185"/>
      <c r="H137" s="185"/>
      <c r="I137" s="185"/>
      <c r="J137" s="185"/>
      <c r="K137" s="185"/>
      <c r="L137" s="186"/>
      <c r="M137" s="183"/>
      <c r="N137" s="183">
        <f t="shared" si="89"/>
        <v>0</v>
      </c>
      <c r="O137" s="165" t="str">
        <f t="shared" si="90"/>
        <v>N/A</v>
      </c>
    </row>
    <row r="138" spans="1:15" hidden="1" outlineLevel="1" x14ac:dyDescent="0.35">
      <c r="A138" s="94"/>
      <c r="B138" s="182"/>
      <c r="C138" s="759"/>
      <c r="D138" s="738"/>
      <c r="E138" s="184"/>
      <c r="F138" s="185"/>
      <c r="G138" s="185"/>
      <c r="H138" s="185"/>
      <c r="I138" s="185"/>
      <c r="J138" s="185"/>
      <c r="K138" s="185"/>
      <c r="L138" s="186"/>
      <c r="M138" s="183"/>
      <c r="N138" s="183">
        <f t="shared" si="89"/>
        <v>0</v>
      </c>
      <c r="O138" s="165" t="str">
        <f t="shared" si="90"/>
        <v>N/A</v>
      </c>
    </row>
    <row r="139" spans="1:15" hidden="1" outlineLevel="1" x14ac:dyDescent="0.35">
      <c r="A139" s="94"/>
      <c r="B139" s="182"/>
      <c r="C139" s="759"/>
      <c r="D139" s="738"/>
      <c r="E139" s="184"/>
      <c r="F139" s="185"/>
      <c r="G139" s="185"/>
      <c r="H139" s="185"/>
      <c r="I139" s="185"/>
      <c r="J139" s="185"/>
      <c r="K139" s="185"/>
      <c r="L139" s="186"/>
      <c r="M139" s="183"/>
      <c r="N139" s="183">
        <f t="shared" si="89"/>
        <v>0</v>
      </c>
      <c r="O139" s="165" t="str">
        <f t="shared" si="90"/>
        <v>N/A</v>
      </c>
    </row>
    <row r="140" spans="1:15" hidden="1" outlineLevel="1" x14ac:dyDescent="0.35">
      <c r="A140" s="94"/>
      <c r="B140" s="182"/>
      <c r="C140" s="759"/>
      <c r="D140" s="738"/>
      <c r="E140" s="184"/>
      <c r="F140" s="185"/>
      <c r="G140" s="185"/>
      <c r="H140" s="185"/>
      <c r="I140" s="185"/>
      <c r="J140" s="185"/>
      <c r="K140" s="185"/>
      <c r="L140" s="186"/>
      <c r="M140" s="183"/>
      <c r="N140" s="183">
        <f t="shared" si="89"/>
        <v>0</v>
      </c>
      <c r="O140" s="165" t="str">
        <f t="shared" si="90"/>
        <v>N/A</v>
      </c>
    </row>
    <row r="141" spans="1:15" hidden="1" outlineLevel="1" x14ac:dyDescent="0.35">
      <c r="A141" s="94"/>
      <c r="B141" s="182"/>
      <c r="C141" s="759"/>
      <c r="D141" s="739"/>
      <c r="E141" s="184"/>
      <c r="F141" s="185"/>
      <c r="G141" s="185"/>
      <c r="H141" s="185"/>
      <c r="I141" s="185"/>
      <c r="J141" s="185"/>
      <c r="K141" s="185"/>
      <c r="L141" s="186"/>
      <c r="M141" s="183"/>
      <c r="N141" s="183">
        <f t="shared" si="89"/>
        <v>0</v>
      </c>
      <c r="O141" s="165" t="str">
        <f t="shared" si="90"/>
        <v>N/A</v>
      </c>
    </row>
    <row r="142" spans="1:15" hidden="1" outlineLevel="1" x14ac:dyDescent="0.35">
      <c r="A142" s="100"/>
      <c r="B142" s="187"/>
      <c r="C142" s="760"/>
      <c r="D142" s="740"/>
      <c r="E142" s="169"/>
      <c r="F142" s="170"/>
      <c r="G142" s="170"/>
      <c r="H142" s="170"/>
      <c r="I142" s="170"/>
      <c r="J142" s="170"/>
      <c r="K142" s="170"/>
      <c r="L142" s="171"/>
      <c r="M142" s="188"/>
      <c r="N142" s="188">
        <f t="shared" si="89"/>
        <v>0</v>
      </c>
      <c r="O142" s="165" t="str">
        <f t="shared" si="90"/>
        <v>N/A</v>
      </c>
    </row>
    <row r="143" spans="1:15" hidden="1" outlineLevel="1" x14ac:dyDescent="0.35">
      <c r="A143" s="189" t="s">
        <v>20</v>
      </c>
      <c r="B143" s="190" t="s">
        <v>40</v>
      </c>
      <c r="C143" s="699"/>
      <c r="D143" s="191">
        <f>SUM(E143:L143)</f>
        <v>0</v>
      </c>
      <c r="E143" s="192">
        <f>E135*C143</f>
        <v>0</v>
      </c>
      <c r="F143" s="192">
        <f>(F135+E135)*C143</f>
        <v>0</v>
      </c>
      <c r="G143" s="192">
        <f>(G135+F135+E135)*C143</f>
        <v>0</v>
      </c>
      <c r="H143" s="192">
        <f>(H135+G135+F135+E135)*C143</f>
        <v>0</v>
      </c>
      <c r="I143" s="192">
        <f>(I135+H135+G135+F135+E135)*C143</f>
        <v>0</v>
      </c>
      <c r="J143" s="192">
        <f>(J135+I135+H135+G135+F135+E135)*C143</f>
        <v>0</v>
      </c>
      <c r="K143" s="192">
        <f>(K135+J135+I135+H135+G135+F135+E135)*C143</f>
        <v>0</v>
      </c>
      <c r="L143" s="193">
        <f>(L135+K135+J135+I135+H135+G135+F135+E135)*C143</f>
        <v>0</v>
      </c>
      <c r="M143" s="179"/>
      <c r="N143" s="179"/>
      <c r="O143" s="179"/>
    </row>
    <row r="144" spans="1:15" hidden="1" outlineLevel="1" x14ac:dyDescent="0.35">
      <c r="A144" s="194" t="s">
        <v>25</v>
      </c>
      <c r="B144" s="195" t="s">
        <v>236</v>
      </c>
      <c r="C144" s="196"/>
      <c r="D144" s="197">
        <f>SUM(E144:L144)</f>
        <v>0</v>
      </c>
      <c r="E144" s="198">
        <f>E132*C144</f>
        <v>0</v>
      </c>
      <c r="F144" s="198">
        <f>(F132+E132)*C144</f>
        <v>0</v>
      </c>
      <c r="G144" s="198">
        <f>(G132+F132+E132)*C144</f>
        <v>0</v>
      </c>
      <c r="H144" s="198">
        <f>(H132+G132+F132+E132)*C144</f>
        <v>0</v>
      </c>
      <c r="I144" s="198">
        <f>(I132+H132+G132+F132+E132)*C144</f>
        <v>0</v>
      </c>
      <c r="J144" s="198">
        <f>(J132+I132+H132+G132+F132+E132)*C144</f>
        <v>0</v>
      </c>
      <c r="K144" s="198">
        <f>(K132+J132+I132+H132+G132+F132+E132)*C144</f>
        <v>0</v>
      </c>
      <c r="L144" s="199">
        <f>(L132+K132+J132+I132+H132+G132+F132+E132)*C144</f>
        <v>0</v>
      </c>
      <c r="M144" s="179"/>
      <c r="N144" s="179"/>
      <c r="O144" s="179"/>
    </row>
    <row r="145" spans="1:34" hidden="1" outlineLevel="1" x14ac:dyDescent="0.35">
      <c r="A145" s="653" t="s">
        <v>27</v>
      </c>
      <c r="B145" s="654" t="s">
        <v>397</v>
      </c>
      <c r="C145" s="655"/>
      <c r="D145" s="656">
        <f>SUM(E145:L145)</f>
        <v>0</v>
      </c>
      <c r="E145" s="203">
        <f>SUMPRODUCT(E136:E142,C136:C142)</f>
        <v>0</v>
      </c>
      <c r="F145" s="203">
        <f>SUM(E136:F136)*C136+SUM(E137:F137)*C137+SUM(E138:F138)*C138+SUM(E139:F139)*C139+SUM(E140:F140)*C140+SUM(E141:F141)*C141+SUM(E142:F142)*C142</f>
        <v>0</v>
      </c>
      <c r="G145" s="203">
        <f>SUM(E136:G136)*C136+SUM(E137:G137)*C137+SUM(E138:G138)*C138+SUM(E139:G139)*C139+SUM(E140:G140)*C140+SUM(E141:G141)*C141+SUM(E142:G142)*C142</f>
        <v>0</v>
      </c>
      <c r="H145" s="203">
        <f>SUM(E136:H136)*C136+SUM(E137:H137)*C137+SUM(E138:H138)*C138+SUM(E139:H139)*C139+SUM(E140:H140)*C140+SUM(E141:H141)*C141+SUM(E142:H142)*C142</f>
        <v>0</v>
      </c>
      <c r="I145" s="203">
        <f>SUM(E136:I136)*C136+SUM(E137:I137)*C137+SUM(E138:I138)*C138+SUM(E139:I139)*C139+SUM(E140:I140)*C140+SUM(E141:I141)*C141+SUM(E142:I142)*C142</f>
        <v>0</v>
      </c>
      <c r="J145" s="203">
        <f>SUM(E136:J136)*C136+SUM(E137:J137)*C137+SUM(E138:J138)*C138+SUM(E139:J139)*C139+SUM(E140:J140)*C140+SUM(E141:J141)*C141+SUM(E142:J142)*C142</f>
        <v>0</v>
      </c>
      <c r="K145" s="203">
        <f>SUM(E136:K136)*C136+SUM(E137:K137)*C137+SUM(E138:K138)*C138+SUM(E139:K139)*C139+SUM(E140:K140)*C140+SUM(E141:K141)*C141+SUM(E142:K142)*C142</f>
        <v>0</v>
      </c>
      <c r="L145" s="657">
        <f>SUM(E136:L136)*C136+SUM(E137:L137)*C137+SUM(E138:L138)*C138+SUM(E139:L139)*C139+SUM(E140:L140)*C140+SUM(E141:L141)*C141+SUM(E142:L142)*C142</f>
        <v>0</v>
      </c>
      <c r="M145" s="179"/>
      <c r="N145" s="179"/>
      <c r="O145" s="179"/>
    </row>
    <row r="146" spans="1:34" hidden="1" outlineLevel="1" x14ac:dyDescent="0.35">
      <c r="A146" s="104"/>
      <c r="B146" s="138"/>
      <c r="C146" s="201"/>
      <c r="D146" s="138"/>
      <c r="E146" s="202"/>
      <c r="F146" s="202"/>
      <c r="G146" s="202"/>
      <c r="H146" s="202"/>
      <c r="I146" s="202"/>
      <c r="J146" s="202"/>
      <c r="K146" s="203"/>
      <c r="L146" s="179"/>
      <c r="M146" s="179"/>
      <c r="N146" s="179"/>
      <c r="O146" s="179"/>
    </row>
    <row r="147" spans="1:34" s="535" customFormat="1" ht="24" customHeight="1" collapsed="1" x14ac:dyDescent="0.4">
      <c r="A147" s="481" t="s">
        <v>122</v>
      </c>
      <c r="B147" s="531"/>
      <c r="C147" s="531"/>
      <c r="D147" s="531"/>
      <c r="E147" s="531"/>
      <c r="F147" s="531"/>
      <c r="G147" s="531"/>
      <c r="H147" s="531"/>
      <c r="I147" s="481"/>
      <c r="J147" s="531"/>
      <c r="K147" s="531"/>
      <c r="L147" s="531"/>
      <c r="M147" s="135"/>
      <c r="N147" s="135"/>
      <c r="O147" s="648"/>
      <c r="P147" s="4"/>
      <c r="Q147" s="64"/>
      <c r="R147" s="64"/>
      <c r="S147" s="64"/>
      <c r="T147" s="64"/>
      <c r="U147" s="532"/>
      <c r="V147" s="533"/>
      <c r="W147" s="533"/>
      <c r="X147" s="533"/>
      <c r="Y147" s="533"/>
      <c r="Z147" s="533"/>
      <c r="AA147" s="533"/>
      <c r="AB147" s="533"/>
      <c r="AC147" s="533"/>
      <c r="AD147" s="533"/>
      <c r="AE147" s="534"/>
      <c r="AF147" s="534"/>
      <c r="AG147" s="534"/>
      <c r="AH147" s="534"/>
    </row>
    <row r="148" spans="1:34" s="520" customFormat="1" ht="31" outlineLevel="1" x14ac:dyDescent="0.35">
      <c r="A148" s="204"/>
      <c r="B148" s="222"/>
      <c r="C148" s="205"/>
      <c r="D148" s="205" t="s">
        <v>19</v>
      </c>
      <c r="E148" s="150" t="str">
        <f>Erfolgsrechnung!C8</f>
        <v>n = Vorjahr</v>
      </c>
      <c r="F148" s="150" t="str">
        <f>Erfolgsrechnung!D8</f>
        <v>n+1 
(1. PRE-Jahr)</v>
      </c>
      <c r="G148" s="150" t="str">
        <f>Erfolgsrechnung!E8</f>
        <v>n+2</v>
      </c>
      <c r="H148" s="150" t="str">
        <f>Erfolgsrechnung!F8</f>
        <v>n+3</v>
      </c>
      <c r="I148" s="150" t="str">
        <f>Erfolgsrechnung!G8</f>
        <v>n+4</v>
      </c>
      <c r="J148" s="150" t="str">
        <f>Erfolgsrechnung!H8</f>
        <v>n+5</v>
      </c>
      <c r="K148" s="150" t="str">
        <f>Erfolgsrechnung!I8</f>
        <v>n+6</v>
      </c>
      <c r="L148" s="150" t="str">
        <f>Erfolgsrechnung!J8</f>
        <v>1. Jahr nach Umsetzung</v>
      </c>
      <c r="M148" s="135"/>
      <c r="N148" s="135"/>
      <c r="O148" s="648"/>
      <c r="P148" s="4"/>
      <c r="Q148" s="4"/>
      <c r="R148" s="4"/>
      <c r="S148" s="4"/>
      <c r="T148" s="4"/>
      <c r="U148" s="4"/>
      <c r="V148" s="4"/>
      <c r="W148" s="4"/>
      <c r="X148" s="4"/>
      <c r="Y148" s="4"/>
      <c r="Z148" s="4"/>
      <c r="AA148" s="4"/>
      <c r="AB148" s="4"/>
      <c r="AC148" s="4"/>
      <c r="AD148" s="4"/>
    </row>
    <row r="149" spans="1:34" outlineLevel="1" x14ac:dyDescent="0.35">
      <c r="A149" s="206" t="s">
        <v>103</v>
      </c>
      <c r="B149" s="207"/>
      <c r="C149" s="208"/>
      <c r="D149" s="209"/>
      <c r="E149" s="210"/>
      <c r="F149" s="211"/>
      <c r="G149" s="211"/>
      <c r="H149" s="211"/>
      <c r="I149" s="211"/>
      <c r="J149" s="211"/>
      <c r="K149" s="211"/>
      <c r="L149" s="207"/>
      <c r="M149" s="135"/>
      <c r="N149" s="135"/>
      <c r="O149" s="648"/>
    </row>
    <row r="150" spans="1:34" outlineLevel="1" x14ac:dyDescent="0.35">
      <c r="A150" s="189"/>
      <c r="B150" s="212"/>
      <c r="C150" s="213"/>
      <c r="D150" s="214">
        <f>SUM(E150:L150)</f>
        <v>0</v>
      </c>
      <c r="E150" s="215">
        <f>SUM(E151:E153)</f>
        <v>0</v>
      </c>
      <c r="F150" s="216">
        <f t="shared" ref="F150:I150" si="91">SUM(F151:F153)</f>
        <v>0</v>
      </c>
      <c r="G150" s="216">
        <f t="shared" si="91"/>
        <v>0</v>
      </c>
      <c r="H150" s="216">
        <f t="shared" si="91"/>
        <v>0</v>
      </c>
      <c r="I150" s="216">
        <f t="shared" si="91"/>
        <v>0</v>
      </c>
      <c r="J150" s="216">
        <f>SUM(J151:J153)</f>
        <v>0</v>
      </c>
      <c r="K150" s="216">
        <f>SUM(K151:K153)</f>
        <v>0</v>
      </c>
      <c r="L150" s="216">
        <f>SUM(L151:L153)</f>
        <v>0</v>
      </c>
      <c r="M150" s="135"/>
      <c r="N150" s="135"/>
      <c r="O150" s="648"/>
    </row>
    <row r="151" spans="1:34" outlineLevel="1" x14ac:dyDescent="0.35">
      <c r="A151" s="94" t="s">
        <v>104</v>
      </c>
      <c r="B151" s="217"/>
      <c r="C151" s="218"/>
      <c r="D151" s="219">
        <f>SUM(E151:L151)</f>
        <v>0</v>
      </c>
      <c r="E151" s="220"/>
      <c r="F151" s="185"/>
      <c r="G151" s="185"/>
      <c r="H151" s="185"/>
      <c r="I151" s="185"/>
      <c r="J151" s="185"/>
      <c r="K151" s="185"/>
      <c r="L151" s="185"/>
      <c r="M151" s="135"/>
      <c r="N151" s="135"/>
      <c r="O151" s="648"/>
    </row>
    <row r="152" spans="1:34" outlineLevel="1" x14ac:dyDescent="0.35">
      <c r="A152" s="94" t="s">
        <v>105</v>
      </c>
      <c r="B152" s="217"/>
      <c r="C152" s="218"/>
      <c r="D152" s="219">
        <f>SUM(E152:L152)</f>
        <v>0</v>
      </c>
      <c r="E152" s="220"/>
      <c r="F152" s="185"/>
      <c r="G152" s="185"/>
      <c r="H152" s="185"/>
      <c r="I152" s="185"/>
      <c r="J152" s="185"/>
      <c r="K152" s="185"/>
      <c r="L152" s="185"/>
      <c r="M152" s="135"/>
      <c r="N152" s="135"/>
      <c r="O152" s="648"/>
    </row>
    <row r="153" spans="1:34" outlineLevel="1" x14ac:dyDescent="0.35">
      <c r="B153" s="217"/>
      <c r="C153" s="218"/>
      <c r="D153" s="219">
        <f>SUM(E153:L153)</f>
        <v>0</v>
      </c>
      <c r="E153" s="220"/>
      <c r="F153" s="185"/>
      <c r="G153" s="185"/>
      <c r="H153" s="185"/>
      <c r="I153" s="185"/>
      <c r="J153" s="185"/>
      <c r="K153" s="185"/>
      <c r="L153" s="185"/>
      <c r="M153" s="135"/>
      <c r="N153" s="135"/>
      <c r="O153" s="648"/>
    </row>
    <row r="154" spans="1:34" x14ac:dyDescent="0.35">
      <c r="A154" s="104"/>
      <c r="B154" s="138"/>
      <c r="C154" s="137"/>
      <c r="D154" s="138"/>
      <c r="E154" s="202"/>
      <c r="F154" s="202"/>
      <c r="H154" s="202"/>
      <c r="I154" s="202"/>
      <c r="J154" s="202"/>
      <c r="K154" s="202"/>
      <c r="M154" s="135"/>
      <c r="N154" s="135"/>
      <c r="O154" s="648"/>
    </row>
    <row r="155" spans="1:34" s="535" customFormat="1" ht="18" x14ac:dyDescent="0.4">
      <c r="A155" s="661" t="s">
        <v>371</v>
      </c>
      <c r="B155" s="531"/>
      <c r="C155" s="531"/>
      <c r="D155" s="531"/>
      <c r="E155" s="531"/>
      <c r="F155" s="531"/>
      <c r="G155" s="531"/>
      <c r="H155" s="481"/>
      <c r="I155" s="531"/>
      <c r="J155" s="531"/>
      <c r="K155" s="531"/>
      <c r="L155" s="531"/>
      <c r="P155" s="4"/>
      <c r="Q155" s="64"/>
      <c r="R155" s="64"/>
      <c r="S155" s="64"/>
      <c r="T155" s="532"/>
      <c r="U155" s="533"/>
      <c r="V155" s="533"/>
      <c r="W155" s="533"/>
      <c r="X155" s="533"/>
      <c r="Y155" s="533"/>
      <c r="Z155" s="533"/>
      <c r="AA155" s="533"/>
      <c r="AB155" s="533"/>
      <c r="AC155" s="533"/>
      <c r="AD155" s="534"/>
      <c r="AE155" s="534"/>
      <c r="AF155" s="534"/>
      <c r="AG155" s="534"/>
    </row>
    <row r="156" spans="1:34" s="135" customFormat="1" ht="20.5" customHeight="1" outlineLevel="1" x14ac:dyDescent="0.35">
      <c r="A156" s="144" t="s">
        <v>233</v>
      </c>
      <c r="B156" s="700" t="s">
        <v>396</v>
      </c>
      <c r="C156" s="140"/>
      <c r="D156" s="145"/>
      <c r="E156" s="141">
        <f>SUMIF($B$12:$B$145,"Darlehen von Dritten",E12:E145)</f>
        <v>0</v>
      </c>
      <c r="F156" s="141">
        <f>SUMIF($B$12:$B$145,"Darlehen von Dritten",F12:F145)</f>
        <v>0</v>
      </c>
      <c r="G156" s="141">
        <f t="shared" ref="G156:L156" si="92">SUMIF($B$12:$B$145,"Darlehen von Dritten",G12:G145)</f>
        <v>0</v>
      </c>
      <c r="H156" s="141">
        <f t="shared" si="92"/>
        <v>0</v>
      </c>
      <c r="I156" s="141">
        <f t="shared" si="92"/>
        <v>0</v>
      </c>
      <c r="J156" s="141">
        <f t="shared" si="92"/>
        <v>0</v>
      </c>
      <c r="K156" s="141">
        <f t="shared" si="92"/>
        <v>0</v>
      </c>
      <c r="L156" s="141">
        <f t="shared" si="92"/>
        <v>0</v>
      </c>
      <c r="O156" s="648"/>
      <c r="P156" s="4"/>
      <c r="Q156" s="4"/>
      <c r="R156" s="4"/>
      <c r="S156" s="4"/>
      <c r="T156" s="4"/>
      <c r="U156" s="4"/>
      <c r="V156" s="4"/>
      <c r="W156" s="4"/>
      <c r="X156" s="4"/>
      <c r="Y156" s="4"/>
      <c r="Z156" s="4"/>
      <c r="AA156" s="4"/>
      <c r="AB156" s="4"/>
      <c r="AC156" s="4"/>
      <c r="AD156" s="4"/>
    </row>
    <row r="157" spans="1:34" s="135" customFormat="1" ht="20.5" customHeight="1" outlineLevel="1" x14ac:dyDescent="0.35">
      <c r="A157" s="144" t="s">
        <v>23</v>
      </c>
      <c r="B157" s="700" t="s">
        <v>396</v>
      </c>
      <c r="C157" s="140"/>
      <c r="D157" s="145"/>
      <c r="E157" s="141">
        <f>SUMIF($B$12:$B$145,"Bankdarlehen",E12:E145)</f>
        <v>0</v>
      </c>
      <c r="F157" s="141">
        <f>SUMIF($B$12:$B$145,"Bankdarlehen",F12:F145)</f>
        <v>0</v>
      </c>
      <c r="G157" s="141">
        <f t="shared" ref="G157:L157" si="93">SUMIF($B$12:$B$145,"Bankdarlehen",G12:G145)</f>
        <v>0</v>
      </c>
      <c r="H157" s="141">
        <f t="shared" si="93"/>
        <v>0</v>
      </c>
      <c r="I157" s="141">
        <f t="shared" si="93"/>
        <v>0</v>
      </c>
      <c r="J157" s="141">
        <f t="shared" si="93"/>
        <v>0</v>
      </c>
      <c r="K157" s="141">
        <f t="shared" si="93"/>
        <v>0</v>
      </c>
      <c r="L157" s="141">
        <f t="shared" si="93"/>
        <v>0</v>
      </c>
      <c r="O157" s="648"/>
      <c r="P157" s="4"/>
      <c r="Q157" s="4"/>
      <c r="R157" s="4"/>
      <c r="S157" s="4"/>
      <c r="T157" s="4"/>
      <c r="U157" s="4"/>
      <c r="V157" s="4"/>
      <c r="W157" s="4"/>
      <c r="X157" s="4"/>
      <c r="Y157" s="4"/>
      <c r="Z157" s="4"/>
      <c r="AA157" s="4"/>
      <c r="AB157" s="4"/>
      <c r="AC157" s="4"/>
      <c r="AD157" s="4"/>
    </row>
    <row r="158" spans="1:34" s="135" customFormat="1" ht="20.5" customHeight="1" outlineLevel="1" x14ac:dyDescent="0.35">
      <c r="A158" s="144" t="s">
        <v>30</v>
      </c>
      <c r="B158" s="700" t="s">
        <v>396</v>
      </c>
      <c r="C158" s="140"/>
      <c r="D158" s="145"/>
      <c r="E158" s="141">
        <f>SUMIF($B$12:$B$145,"Hypothek",E12:E145)</f>
        <v>0</v>
      </c>
      <c r="F158" s="141">
        <f>SUMIF($B$12:$B$145,"Hypothek",F12:F145)</f>
        <v>0</v>
      </c>
      <c r="G158" s="141">
        <f>SUMIF($B$12:$B$145,"Hypothek",G12:G145)</f>
        <v>0</v>
      </c>
      <c r="H158" s="141">
        <f>SUMIF($B$12:$B$145,"Hypothek",H12:H145)</f>
        <v>0</v>
      </c>
      <c r="I158" s="141">
        <f t="shared" ref="I158:L158" si="94">SUMIF($B$12:$B$145,"Hypothek",I12:I145)</f>
        <v>0</v>
      </c>
      <c r="J158" s="141">
        <f t="shared" si="94"/>
        <v>0</v>
      </c>
      <c r="K158" s="141">
        <f t="shared" si="94"/>
        <v>0</v>
      </c>
      <c r="L158" s="141">
        <f t="shared" si="94"/>
        <v>0</v>
      </c>
      <c r="O158" s="648"/>
      <c r="P158" s="4"/>
      <c r="Q158" s="4"/>
      <c r="R158" s="4"/>
      <c r="S158" s="4"/>
      <c r="T158" s="4"/>
      <c r="U158" s="4"/>
      <c r="V158" s="4"/>
      <c r="W158" s="4"/>
      <c r="X158" s="4"/>
      <c r="Y158" s="4"/>
      <c r="Z158" s="4"/>
      <c r="AA158" s="4"/>
      <c r="AB158" s="4"/>
      <c r="AC158" s="4"/>
      <c r="AD158" s="4"/>
    </row>
    <row r="159" spans="1:34" s="135" customFormat="1" ht="20.5" customHeight="1" outlineLevel="1" x14ac:dyDescent="0.35">
      <c r="A159" s="144" t="s">
        <v>24</v>
      </c>
      <c r="B159" s="700" t="s">
        <v>396</v>
      </c>
      <c r="C159" s="140"/>
      <c r="D159" s="145"/>
      <c r="E159" s="141">
        <f>SUMIF($B$12:$B$145,"Investitionskredit",E12:E145)</f>
        <v>0</v>
      </c>
      <c r="F159" s="141">
        <f>SUMIF($B$12:$B$145,"Investitionskredit",F12:F145)</f>
        <v>0</v>
      </c>
      <c r="G159" s="141">
        <f t="shared" ref="G159:L159" si="95">SUMIF($B$12:$B$145,"Investitionskredit",G12:G145)</f>
        <v>0</v>
      </c>
      <c r="H159" s="141">
        <f t="shared" si="95"/>
        <v>0</v>
      </c>
      <c r="I159" s="141">
        <f t="shared" si="95"/>
        <v>0</v>
      </c>
      <c r="J159" s="141">
        <f t="shared" si="95"/>
        <v>0</v>
      </c>
      <c r="K159" s="141">
        <f t="shared" si="95"/>
        <v>0</v>
      </c>
      <c r="L159" s="141">
        <f t="shared" si="95"/>
        <v>0</v>
      </c>
      <c r="O159" s="648"/>
      <c r="P159" s="4"/>
      <c r="Q159" s="4"/>
      <c r="R159" s="4"/>
      <c r="S159" s="4"/>
      <c r="T159" s="4"/>
      <c r="U159" s="4"/>
      <c r="V159" s="4"/>
      <c r="W159" s="4"/>
      <c r="X159" s="4"/>
      <c r="Y159" s="4"/>
      <c r="Z159" s="4"/>
      <c r="AA159" s="4"/>
      <c r="AB159" s="4"/>
      <c r="AC159" s="4"/>
      <c r="AD159" s="4"/>
    </row>
    <row r="160" spans="1:34" s="135" customFormat="1" ht="20.5" customHeight="1" outlineLevel="1" x14ac:dyDescent="0.35">
      <c r="A160" s="658" t="s">
        <v>26</v>
      </c>
      <c r="B160" s="700" t="s">
        <v>396</v>
      </c>
      <c r="C160" s="660"/>
      <c r="D160" s="662"/>
      <c r="E160" s="663">
        <f t="shared" ref="E160:L160" si="96">SUMIF($B$12:$B$145,"unbekannte Restfinanzierung",E12:E145)</f>
        <v>0</v>
      </c>
      <c r="F160" s="663">
        <f>SUMIF($B$12:$B$145,"unbekannte Restfinanzierung",F12:F145)</f>
        <v>0</v>
      </c>
      <c r="G160" s="663">
        <f>SUMIF($B$12:$B$145,"unbekannte Restfinanzierung",G12:G145)</f>
        <v>0</v>
      </c>
      <c r="H160" s="663">
        <f t="shared" si="96"/>
        <v>0</v>
      </c>
      <c r="I160" s="663">
        <f t="shared" si="96"/>
        <v>0</v>
      </c>
      <c r="J160" s="663">
        <f t="shared" si="96"/>
        <v>0</v>
      </c>
      <c r="K160" s="663">
        <f t="shared" si="96"/>
        <v>0</v>
      </c>
      <c r="L160" s="663">
        <f t="shared" si="96"/>
        <v>0</v>
      </c>
      <c r="O160" s="648"/>
      <c r="P160" s="4"/>
      <c r="Q160" s="4"/>
      <c r="R160" s="4"/>
      <c r="S160" s="4"/>
      <c r="T160" s="4"/>
      <c r="U160" s="4"/>
      <c r="V160" s="4"/>
      <c r="W160" s="4"/>
      <c r="X160" s="4"/>
      <c r="Y160" s="4"/>
      <c r="Z160" s="4"/>
      <c r="AA160" s="4"/>
      <c r="AB160" s="4"/>
      <c r="AC160" s="4"/>
      <c r="AD160" s="4"/>
    </row>
    <row r="161" spans="1:30" s="135" customFormat="1" ht="20.5" customHeight="1" outlineLevel="1" x14ac:dyDescent="0.35">
      <c r="A161" s="750" t="s">
        <v>372</v>
      </c>
      <c r="B161" s="751" t="s">
        <v>396</v>
      </c>
      <c r="C161" s="752"/>
      <c r="D161" s="753"/>
      <c r="E161" s="754">
        <f>SUM(E156:E160)</f>
        <v>0</v>
      </c>
      <c r="F161" s="754">
        <f>SUM(F156:F160)</f>
        <v>0</v>
      </c>
      <c r="G161" s="754">
        <f>SUM(G156:G160)</f>
        <v>0</v>
      </c>
      <c r="H161" s="754">
        <f t="shared" ref="H161:L161" si="97">SUM(H156:H160)</f>
        <v>0</v>
      </c>
      <c r="I161" s="754">
        <f t="shared" si="97"/>
        <v>0</v>
      </c>
      <c r="J161" s="754">
        <f t="shared" si="97"/>
        <v>0</v>
      </c>
      <c r="K161" s="754">
        <f t="shared" si="97"/>
        <v>0</v>
      </c>
      <c r="L161" s="754">
        <f t="shared" si="97"/>
        <v>0</v>
      </c>
      <c r="O161" s="648"/>
      <c r="P161" s="4"/>
      <c r="Q161" s="4"/>
      <c r="R161" s="4"/>
      <c r="S161" s="4"/>
      <c r="T161" s="4"/>
      <c r="U161" s="4"/>
      <c r="V161" s="4"/>
      <c r="W161" s="4"/>
      <c r="X161" s="4"/>
      <c r="Y161" s="4"/>
      <c r="Z161" s="4"/>
      <c r="AA161" s="4"/>
      <c r="AB161" s="4"/>
      <c r="AC161" s="4"/>
      <c r="AD161" s="4"/>
    </row>
    <row r="162" spans="1:30" s="135" customFormat="1" ht="20.5" customHeight="1" outlineLevel="1" thickBot="1" x14ac:dyDescent="0.4">
      <c r="A162" s="664" t="s">
        <v>372</v>
      </c>
      <c r="B162" s="702" t="s">
        <v>32</v>
      </c>
      <c r="C162" s="665"/>
      <c r="D162" s="666"/>
      <c r="E162" s="667">
        <f>E161</f>
        <v>0</v>
      </c>
      <c r="F162" s="667">
        <f>F161+E162</f>
        <v>0</v>
      </c>
      <c r="G162" s="667">
        <f t="shared" ref="G162:L162" si="98">G161+F162</f>
        <v>0</v>
      </c>
      <c r="H162" s="667">
        <f t="shared" si="98"/>
        <v>0</v>
      </c>
      <c r="I162" s="667">
        <f t="shared" si="98"/>
        <v>0</v>
      </c>
      <c r="J162" s="667">
        <f t="shared" si="98"/>
        <v>0</v>
      </c>
      <c r="K162" s="667">
        <f t="shared" si="98"/>
        <v>0</v>
      </c>
      <c r="L162" s="667">
        <f t="shared" si="98"/>
        <v>0</v>
      </c>
      <c r="O162" s="648"/>
      <c r="P162" s="4"/>
      <c r="Q162" s="4"/>
      <c r="R162" s="4"/>
      <c r="S162" s="4"/>
      <c r="T162" s="4"/>
      <c r="U162" s="4"/>
      <c r="V162" s="4"/>
      <c r="W162" s="4"/>
      <c r="X162" s="4"/>
      <c r="Y162" s="4"/>
      <c r="Z162" s="4"/>
      <c r="AA162" s="4"/>
      <c r="AB162" s="4"/>
      <c r="AC162" s="4"/>
      <c r="AD162" s="4"/>
    </row>
    <row r="163" spans="1:30" s="135" customFormat="1" ht="20.5" customHeight="1" outlineLevel="1" thickTop="1" x14ac:dyDescent="0.35">
      <c r="A163" s="144" t="s">
        <v>22</v>
      </c>
      <c r="B163" s="700" t="s">
        <v>396</v>
      </c>
      <c r="C163" s="140"/>
      <c r="D163" s="145"/>
      <c r="E163" s="141">
        <f>SUMIF($B$12:$B$145,"Eigenkapital",E12:E145)</f>
        <v>0</v>
      </c>
      <c r="F163" s="141">
        <f>SUMIF($B$12:$B$145,"Eigenkapital",F12:F145)</f>
        <v>0</v>
      </c>
      <c r="G163" s="141">
        <f t="shared" ref="G163:L163" si="99">SUMIF($B$12:$B$145,"Eigenkapital",G12:G145)</f>
        <v>0</v>
      </c>
      <c r="H163" s="141">
        <f t="shared" si="99"/>
        <v>0</v>
      </c>
      <c r="I163" s="141">
        <f t="shared" si="99"/>
        <v>0</v>
      </c>
      <c r="J163" s="141">
        <f t="shared" si="99"/>
        <v>0</v>
      </c>
      <c r="K163" s="141">
        <f t="shared" si="99"/>
        <v>0</v>
      </c>
      <c r="L163" s="141">
        <f t="shared" si="99"/>
        <v>0</v>
      </c>
      <c r="O163" s="648"/>
      <c r="P163" s="4"/>
      <c r="Q163" s="4"/>
      <c r="R163" s="4"/>
      <c r="S163" s="4"/>
      <c r="T163" s="4"/>
      <c r="U163" s="4"/>
      <c r="V163" s="4"/>
      <c r="W163" s="4"/>
      <c r="X163" s="4"/>
      <c r="Y163" s="4"/>
      <c r="Z163" s="4"/>
      <c r="AA163" s="4"/>
      <c r="AB163" s="4"/>
      <c r="AC163" s="4"/>
      <c r="AD163" s="4"/>
    </row>
    <row r="164" spans="1:30" s="135" customFormat="1" ht="20.5" customHeight="1" outlineLevel="1" x14ac:dyDescent="0.35">
      <c r="A164" s="144" t="s">
        <v>31</v>
      </c>
      <c r="B164" s="700" t="s">
        <v>396</v>
      </c>
      <c r="C164" s="140"/>
      <c r="D164" s="145"/>
      <c r="E164" s="141">
        <f>SUMIF($B$12:$B$145,"Beiträge Bund &amp; Kanton",E12:E145)</f>
        <v>0</v>
      </c>
      <c r="F164" s="141">
        <f>SUMIF($B$12:$B$145,"Beiträge Bund &amp; Kanton",F12:F145)</f>
        <v>0</v>
      </c>
      <c r="G164" s="141">
        <f t="shared" ref="G164:L164" si="100">SUMIF($B$12:$B$145,"Beiträge Bund &amp; Kanton",G12:G145)</f>
        <v>0</v>
      </c>
      <c r="H164" s="141">
        <f>SUMIF($B$12:$B$145,"Beiträge Bund &amp; Kanton",H12:H145)</f>
        <v>0</v>
      </c>
      <c r="I164" s="141">
        <f t="shared" si="100"/>
        <v>0</v>
      </c>
      <c r="J164" s="141">
        <f t="shared" si="100"/>
        <v>0</v>
      </c>
      <c r="K164" s="141">
        <f t="shared" si="100"/>
        <v>0</v>
      </c>
      <c r="L164" s="141">
        <f t="shared" si="100"/>
        <v>0</v>
      </c>
      <c r="O164" s="648"/>
      <c r="P164" s="4"/>
      <c r="Q164" s="4"/>
      <c r="R164" s="4"/>
      <c r="S164" s="4"/>
      <c r="T164" s="4"/>
      <c r="U164" s="4"/>
      <c r="V164" s="4"/>
      <c r="W164" s="4"/>
      <c r="X164" s="4"/>
      <c r="Y164" s="4"/>
      <c r="Z164" s="4"/>
      <c r="AA164" s="4"/>
      <c r="AB164" s="4"/>
      <c r="AC164" s="4"/>
      <c r="AD164" s="4"/>
    </row>
    <row r="165" spans="1:30" s="135" customFormat="1" ht="20.5" customHeight="1" outlineLevel="1" x14ac:dyDescent="0.35">
      <c r="A165" s="658" t="s">
        <v>161</v>
      </c>
      <c r="B165" s="701" t="s">
        <v>396</v>
      </c>
      <c r="C165" s="660"/>
      <c r="D165" s="662"/>
      <c r="E165" s="663">
        <f>SUMIF($B$12:$B$145,"à fonds perdu Beiträge Dritter",E12:E145)</f>
        <v>0</v>
      </c>
      <c r="F165" s="663">
        <f>SUMIF($B$12:$B$145,"à fonds perdu Beiträge Dritter",F12:F145)</f>
        <v>0</v>
      </c>
      <c r="G165" s="663">
        <f t="shared" ref="G165:L165" si="101">SUMIF($B$12:$B$145,"à fonds perdu Beiträge Dritter",G12:G145)</f>
        <v>0</v>
      </c>
      <c r="H165" s="663">
        <f t="shared" si="101"/>
        <v>0</v>
      </c>
      <c r="I165" s="663">
        <f t="shared" si="101"/>
        <v>0</v>
      </c>
      <c r="J165" s="663">
        <f t="shared" si="101"/>
        <v>0</v>
      </c>
      <c r="K165" s="663">
        <f t="shared" si="101"/>
        <v>0</v>
      </c>
      <c r="L165" s="663">
        <f t="shared" si="101"/>
        <v>0</v>
      </c>
      <c r="O165" s="648"/>
      <c r="P165" s="4"/>
      <c r="Q165" s="4"/>
      <c r="R165" s="4"/>
      <c r="S165" s="4"/>
      <c r="T165" s="4"/>
      <c r="U165" s="4"/>
      <c r="V165" s="4"/>
      <c r="W165" s="4"/>
      <c r="X165" s="4"/>
      <c r="Y165" s="4"/>
      <c r="Z165" s="4"/>
      <c r="AA165" s="4"/>
      <c r="AB165" s="4"/>
      <c r="AC165" s="4"/>
      <c r="AD165" s="4"/>
    </row>
    <row r="166" spans="1:30" s="135" customFormat="1" ht="20.5" customHeight="1" outlineLevel="1" thickBot="1" x14ac:dyDescent="0.4">
      <c r="A166" s="744" t="s">
        <v>380</v>
      </c>
      <c r="B166" s="745" t="s">
        <v>396</v>
      </c>
      <c r="C166" s="746"/>
      <c r="D166" s="747"/>
      <c r="E166" s="749">
        <f t="shared" ref="E166:L166" si="102">SUM(E163:E165)+E161</f>
        <v>0</v>
      </c>
      <c r="F166" s="748">
        <f t="shared" si="102"/>
        <v>0</v>
      </c>
      <c r="G166" s="748">
        <f t="shared" si="102"/>
        <v>0</v>
      </c>
      <c r="H166" s="748">
        <f t="shared" si="102"/>
        <v>0</v>
      </c>
      <c r="I166" s="748">
        <f t="shared" si="102"/>
        <v>0</v>
      </c>
      <c r="J166" s="748">
        <f t="shared" si="102"/>
        <v>0</v>
      </c>
      <c r="K166" s="748">
        <f t="shared" si="102"/>
        <v>0</v>
      </c>
      <c r="L166" s="748">
        <f t="shared" si="102"/>
        <v>0</v>
      </c>
      <c r="O166" s="648"/>
      <c r="P166" s="4"/>
      <c r="Q166" s="4"/>
      <c r="R166" s="4"/>
      <c r="S166" s="4"/>
      <c r="T166" s="4"/>
      <c r="U166" s="4"/>
      <c r="V166" s="4"/>
      <c r="W166" s="4"/>
      <c r="X166" s="4"/>
      <c r="Y166" s="4"/>
      <c r="Z166" s="4"/>
      <c r="AA166" s="4"/>
      <c r="AB166" s="4"/>
      <c r="AC166" s="4"/>
      <c r="AD166" s="4"/>
    </row>
    <row r="167" spans="1:30" s="135" customFormat="1" ht="20.5" customHeight="1" outlineLevel="1" x14ac:dyDescent="0.35">
      <c r="A167" s="144" t="s">
        <v>60</v>
      </c>
      <c r="B167" s="700"/>
      <c r="C167" s="140"/>
      <c r="D167" s="145"/>
      <c r="E167" s="141" t="e">
        <f>E162/'Cashflow Übersicht'!E9</f>
        <v>#DIV/0!</v>
      </c>
      <c r="F167" s="141" t="e">
        <f>F162/'Cashflow Übersicht'!F9</f>
        <v>#DIV/0!</v>
      </c>
      <c r="G167" s="141" t="e">
        <f>G162/'Cashflow Übersicht'!G9</f>
        <v>#DIV/0!</v>
      </c>
      <c r="H167" s="141" t="e">
        <f>H162/'Cashflow Übersicht'!H9</f>
        <v>#DIV/0!</v>
      </c>
      <c r="I167" s="141" t="e">
        <f>I162/'Cashflow Übersicht'!I9</f>
        <v>#DIV/0!</v>
      </c>
      <c r="J167" s="141" t="e">
        <f>J162/'Cashflow Übersicht'!J9</f>
        <v>#DIV/0!</v>
      </c>
      <c r="K167" s="141" t="e">
        <f>K162/'Cashflow Übersicht'!K9</f>
        <v>#DIV/0!</v>
      </c>
      <c r="L167" s="141" t="e">
        <f>L162/'Cashflow Übersicht'!L9</f>
        <v>#DIV/0!</v>
      </c>
      <c r="O167" s="648"/>
      <c r="P167" s="4"/>
      <c r="Q167" s="4"/>
      <c r="R167" s="4"/>
      <c r="S167" s="4"/>
      <c r="T167" s="4"/>
      <c r="U167" s="4"/>
      <c r="V167" s="4"/>
      <c r="W167" s="4"/>
      <c r="X167" s="4"/>
      <c r="Y167" s="4"/>
      <c r="Z167" s="4"/>
      <c r="AA167" s="4"/>
      <c r="AB167" s="4"/>
      <c r="AC167" s="4"/>
      <c r="AD167" s="4"/>
    </row>
    <row r="168" spans="1:30" s="135" customFormat="1" ht="20.5" customHeight="1" outlineLevel="1" x14ac:dyDescent="0.35">
      <c r="A168" s="658"/>
      <c r="B168" s="658"/>
      <c r="C168" s="658"/>
      <c r="D168" s="650"/>
      <c r="E168" s="650"/>
      <c r="F168" s="650"/>
      <c r="G168" s="650"/>
      <c r="H168" s="650"/>
      <c r="I168" s="650"/>
      <c r="J168" s="650"/>
      <c r="K168" s="650"/>
      <c r="L168" s="651"/>
      <c r="O168" s="648"/>
      <c r="P168" s="4"/>
      <c r="Q168" s="4"/>
      <c r="R168" s="4"/>
      <c r="S168" s="4"/>
      <c r="T168" s="4"/>
      <c r="U168" s="4"/>
      <c r="V168" s="4"/>
      <c r="W168" s="4"/>
      <c r="X168" s="4"/>
      <c r="Y168" s="4"/>
      <c r="Z168" s="4"/>
      <c r="AA168" s="4"/>
      <c r="AB168" s="4"/>
      <c r="AC168" s="4"/>
      <c r="AD168" s="4"/>
    </row>
    <row r="169" spans="1:30" s="135" customFormat="1" ht="20.5" customHeight="1" outlineLevel="1" x14ac:dyDescent="0.35">
      <c r="A169" s="139" t="s">
        <v>234</v>
      </c>
      <c r="B169" s="703" t="s">
        <v>396</v>
      </c>
      <c r="C169" s="704">
        <f>D12+D27+D42+D57+D72+D87+D102+D117+D132</f>
        <v>0</v>
      </c>
      <c r="D169" s="704"/>
      <c r="E169" s="142">
        <f t="shared" ref="E169:L169" si="103">E12+E27+E42+E57+E72+E87+E102+E117+E132</f>
        <v>0</v>
      </c>
      <c r="F169" s="142">
        <f t="shared" si="103"/>
        <v>0</v>
      </c>
      <c r="G169" s="142">
        <f t="shared" si="103"/>
        <v>0</v>
      </c>
      <c r="H169" s="142">
        <f t="shared" si="103"/>
        <v>0</v>
      </c>
      <c r="I169" s="142">
        <f t="shared" si="103"/>
        <v>0</v>
      </c>
      <c r="J169" s="142">
        <f t="shared" si="103"/>
        <v>0</v>
      </c>
      <c r="K169" s="142">
        <f t="shared" si="103"/>
        <v>0</v>
      </c>
      <c r="L169" s="143">
        <f t="shared" si="103"/>
        <v>0</v>
      </c>
      <c r="P169" s="4"/>
      <c r="Q169" s="4"/>
      <c r="R169" s="4"/>
      <c r="S169" s="4"/>
      <c r="T169" s="4"/>
      <c r="U169" s="4"/>
      <c r="V169" s="4"/>
      <c r="W169" s="4"/>
      <c r="X169" s="4"/>
      <c r="Y169" s="4"/>
      <c r="Z169" s="4"/>
      <c r="AA169" s="4"/>
      <c r="AB169" s="4"/>
      <c r="AC169" s="4"/>
      <c r="AD169" s="4"/>
    </row>
    <row r="170" spans="1:30" s="135" customFormat="1" ht="20.5" customHeight="1" outlineLevel="1" x14ac:dyDescent="0.35">
      <c r="A170" s="144" t="s">
        <v>38</v>
      </c>
      <c r="B170" s="703" t="s">
        <v>396</v>
      </c>
      <c r="C170" s="700">
        <f>SUM(E170:L170)</f>
        <v>0</v>
      </c>
      <c r="D170" s="700"/>
      <c r="E170" s="141">
        <f t="shared" ref="E170:L170" si="104">SUMIF($A$12:$A$145,"Abschreibung",E12:E145)</f>
        <v>0</v>
      </c>
      <c r="F170" s="141">
        <f t="shared" si="104"/>
        <v>0</v>
      </c>
      <c r="G170" s="141">
        <f t="shared" si="104"/>
        <v>0</v>
      </c>
      <c r="H170" s="141">
        <f t="shared" si="104"/>
        <v>0</v>
      </c>
      <c r="I170" s="141">
        <f t="shared" si="104"/>
        <v>0</v>
      </c>
      <c r="J170" s="141">
        <f t="shared" si="104"/>
        <v>0</v>
      </c>
      <c r="K170" s="141">
        <f t="shared" si="104"/>
        <v>0</v>
      </c>
      <c r="L170" s="141">
        <f t="shared" si="104"/>
        <v>0</v>
      </c>
      <c r="O170" s="648"/>
      <c r="P170" s="4"/>
      <c r="Q170" s="4"/>
      <c r="R170" s="4"/>
      <c r="S170" s="4"/>
      <c r="T170" s="4"/>
      <c r="U170" s="4"/>
      <c r="V170" s="4"/>
      <c r="W170" s="4"/>
      <c r="X170" s="4"/>
      <c r="Y170" s="4"/>
      <c r="Z170" s="4"/>
      <c r="AA170" s="4"/>
      <c r="AB170" s="4"/>
      <c r="AC170" s="4"/>
      <c r="AD170" s="4"/>
    </row>
    <row r="171" spans="1:30" s="135" customFormat="1" ht="20.5" customHeight="1" outlineLevel="1" x14ac:dyDescent="0.35">
      <c r="A171" s="144" t="s">
        <v>39</v>
      </c>
      <c r="B171" s="703" t="s">
        <v>396</v>
      </c>
      <c r="C171" s="700">
        <f>SUM(E171:L171)</f>
        <v>0</v>
      </c>
      <c r="D171" s="700"/>
      <c r="E171" s="141">
        <f t="shared" ref="E171:L171" si="105">SUMIF($A$12:$A$145,"Unterhalt",E12:E145)</f>
        <v>0</v>
      </c>
      <c r="F171" s="141">
        <f t="shared" si="105"/>
        <v>0</v>
      </c>
      <c r="G171" s="141">
        <f t="shared" si="105"/>
        <v>0</v>
      </c>
      <c r="H171" s="141">
        <f t="shared" si="105"/>
        <v>0</v>
      </c>
      <c r="I171" s="141">
        <f t="shared" si="105"/>
        <v>0</v>
      </c>
      <c r="J171" s="141">
        <f t="shared" si="105"/>
        <v>0</v>
      </c>
      <c r="K171" s="141">
        <f t="shared" si="105"/>
        <v>0</v>
      </c>
      <c r="L171" s="141">
        <f t="shared" si="105"/>
        <v>0</v>
      </c>
      <c r="P171" s="4"/>
      <c r="Q171" s="4"/>
      <c r="R171" s="4"/>
      <c r="S171" s="4"/>
      <c r="T171" s="4"/>
      <c r="U171" s="4"/>
      <c r="V171" s="4"/>
      <c r="W171" s="4"/>
      <c r="X171" s="4"/>
      <c r="Y171" s="4"/>
      <c r="Z171" s="4"/>
      <c r="AA171" s="4"/>
      <c r="AB171" s="4"/>
      <c r="AC171" s="4"/>
      <c r="AD171" s="4"/>
    </row>
    <row r="172" spans="1:30" s="135" customFormat="1" ht="20.5" customHeight="1" outlineLevel="1" x14ac:dyDescent="0.35">
      <c r="A172" s="144" t="s">
        <v>47</v>
      </c>
      <c r="B172" s="703" t="s">
        <v>396</v>
      </c>
      <c r="C172" s="700">
        <f>SUM(E172:L172)</f>
        <v>0</v>
      </c>
      <c r="D172" s="700"/>
      <c r="E172" s="141">
        <f t="shared" ref="E172:L172" si="106">SUMIF($A$12:$A$145,"Zinskosten",E12:E145)</f>
        <v>0</v>
      </c>
      <c r="F172" s="141">
        <f t="shared" si="106"/>
        <v>0</v>
      </c>
      <c r="G172" s="141">
        <f t="shared" si="106"/>
        <v>0</v>
      </c>
      <c r="H172" s="141">
        <f t="shared" si="106"/>
        <v>0</v>
      </c>
      <c r="I172" s="141">
        <f t="shared" si="106"/>
        <v>0</v>
      </c>
      <c r="J172" s="141">
        <f t="shared" si="106"/>
        <v>0</v>
      </c>
      <c r="K172" s="141">
        <f t="shared" si="106"/>
        <v>0</v>
      </c>
      <c r="L172" s="141">
        <f t="shared" si="106"/>
        <v>0</v>
      </c>
      <c r="P172" s="4"/>
      <c r="Q172" s="4"/>
      <c r="R172" s="4"/>
      <c r="S172" s="4"/>
      <c r="T172" s="4"/>
      <c r="U172" s="4"/>
      <c r="V172" s="4"/>
      <c r="W172" s="4"/>
      <c r="X172" s="4"/>
      <c r="Y172" s="4"/>
      <c r="Z172" s="4"/>
      <c r="AA172" s="4"/>
      <c r="AB172" s="4"/>
      <c r="AC172" s="4"/>
      <c r="AD172" s="4"/>
    </row>
    <row r="173" spans="1:30" s="135" customFormat="1" ht="20.5" customHeight="1" x14ac:dyDescent="0.35">
      <c r="A173" s="658"/>
      <c r="B173" s="659"/>
      <c r="C173" s="660"/>
      <c r="D173" s="649"/>
      <c r="E173" s="650"/>
      <c r="F173" s="650"/>
      <c r="G173" s="650"/>
      <c r="H173" s="650"/>
      <c r="I173" s="650"/>
      <c r="J173" s="650"/>
      <c r="K173" s="650"/>
      <c r="L173" s="650"/>
      <c r="M173" s="658"/>
      <c r="N173" s="658"/>
      <c r="P173" s="4"/>
      <c r="Q173" s="4"/>
      <c r="R173" s="4"/>
      <c r="S173" s="4"/>
      <c r="T173" s="4"/>
      <c r="U173" s="4"/>
      <c r="V173" s="4"/>
      <c r="W173" s="4"/>
      <c r="X173" s="4"/>
      <c r="Y173" s="4"/>
      <c r="Z173" s="4"/>
      <c r="AA173" s="4"/>
      <c r="AB173" s="4"/>
      <c r="AC173" s="4"/>
      <c r="AD173" s="4"/>
    </row>
  </sheetData>
  <mergeCells count="1">
    <mergeCell ref="A5:O5"/>
  </mergeCells>
  <conditionalFormatting sqref="M12:M146">
    <cfRule type="containsText" dxfId="49" priority="1" operator="containsText" text="nicht übereinstimmend">
      <formula>NOT(ISERROR(SEARCH("nicht übereinstimmend",M12)))</formula>
    </cfRule>
  </conditionalFormatting>
  <pageMargins left="0.70866141732283472" right="0.70866141732283472" top="0.78740157480314965" bottom="0.78740157480314965" header="0.31496062992125984" footer="0.31496062992125984"/>
  <pageSetup paperSize="9" scale="51" fitToHeight="0" orientation="landscape" r:id="rId1"/>
  <rowBreaks count="4" manualBreakCount="4">
    <brk id="8" max="14" man="1"/>
    <brk id="56" max="14" man="1"/>
    <brk id="101" max="14" man="1"/>
    <brk id="145" max="14" man="1"/>
  </rowBreaks>
  <ignoredErrors>
    <ignoredError sqref="E154:L154 P11:P24 P39 P54 P69 P84 P99 P114 P129 P144 D39 G15:L15 E19:L22 E146:L146 D144:L144 E26:L37 D146:D153 F39:H39 D69:H69 D84:J84 E24:L24 H25 J25:L25 B2 J39:L39 J69:L69 I70:L70 L84 F15 E10:L12 E70:G70 E85:K85 D12:D13 P26:P37 D41:L43 P41:P52 D54:L54 P56:P67 D71:L73 P71:P82 D86:L88 P86:P97 D99:L99 P101:P112 D114:L114 P116:P127 D129:L129 P131:P142 E145:L145 D131:L133 E130:L130 D116:L118 E115:L115 D101:L103 E100:L100 D56:L57 E55:L55 E40:L40 D26:D27 D30:D37 D75:L82 E74:L74 D60:L67 E59:L59 D135:L142 E134:L134 D120:L120 E119:L119 D105:L112 E104:L104 D90:L97 E89:L89 D45:L52 E44:L44 D15:D24 F58 H58:K58 E14:L14 F13:L13" unlockedFormula="1"/>
    <ignoredError sqref="G25 I25" formulaRange="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 input'!$B$47:$B$53</xm:f>
          </x14:formula1>
          <xm:sqref>B121:B127 B91:B97 B76:B82 B16:B22 B106:B112 B31:B37 B46:B52 B61:B67 B136:B142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0"/>
  <sheetViews>
    <sheetView showGridLines="0" zoomScaleNormal="100" workbookViewId="0">
      <selection activeCell="A27" sqref="A27"/>
    </sheetView>
  </sheetViews>
  <sheetFormatPr baseColWidth="10" defaultRowHeight="14" outlineLevelRow="1" x14ac:dyDescent="0.3"/>
  <cols>
    <col min="1" max="1" width="27" customWidth="1"/>
    <col min="6" max="6" width="14.08203125" customWidth="1"/>
  </cols>
  <sheetData>
    <row r="1" spans="1:34" s="480" customFormat="1" ht="27.65" customHeight="1" x14ac:dyDescent="0.3">
      <c r="A1" s="477" t="s">
        <v>407</v>
      </c>
      <c r="B1" s="478"/>
      <c r="C1" s="478"/>
      <c r="D1" s="478"/>
      <c r="E1" s="478"/>
      <c r="F1" s="478"/>
      <c r="G1" s="478"/>
      <c r="H1" s="478"/>
      <c r="I1" s="478"/>
      <c r="J1" s="478"/>
      <c r="K1" s="478"/>
      <c r="L1" s="478"/>
      <c r="M1" s="478"/>
      <c r="N1" s="478"/>
      <c r="O1" s="478"/>
      <c r="P1" s="478"/>
      <c r="Q1" s="478"/>
      <c r="R1" s="478"/>
      <c r="S1" s="478"/>
      <c r="T1" s="478"/>
      <c r="U1" s="478"/>
      <c r="V1" s="478"/>
      <c r="W1" s="478"/>
      <c r="X1" s="479"/>
      <c r="Y1" s="478"/>
      <c r="Z1" s="478"/>
      <c r="AA1" s="478"/>
      <c r="AB1" s="478"/>
      <c r="AC1" s="478"/>
      <c r="AD1" s="478"/>
      <c r="AE1" s="478"/>
    </row>
    <row r="2" spans="1:34" s="78" customFormat="1" ht="30.65" customHeight="1" x14ac:dyDescent="0.35">
      <c r="A2" s="79" t="s">
        <v>75</v>
      </c>
      <c r="B2" s="76" t="str">
        <f>IF('Übersicht TP '!B2=0,"",'Übersicht TP '!B2)</f>
        <v/>
      </c>
      <c r="C2" s="77"/>
      <c r="E2" s="79" t="s">
        <v>10</v>
      </c>
      <c r="F2" s="80"/>
      <c r="G2" s="77"/>
      <c r="H2" s="77"/>
      <c r="I2" s="77"/>
      <c r="J2" s="77"/>
      <c r="K2" s="77"/>
      <c r="M2" s="4"/>
      <c r="N2" s="4"/>
      <c r="O2" s="4"/>
      <c r="P2" s="4"/>
      <c r="Q2" s="4"/>
      <c r="R2" s="4"/>
      <c r="S2" s="4"/>
      <c r="T2" s="4"/>
      <c r="U2" s="4"/>
      <c r="V2" s="4"/>
      <c r="W2" s="4"/>
      <c r="X2" s="4"/>
      <c r="Y2" s="4"/>
      <c r="Z2" s="4"/>
      <c r="AA2" s="4"/>
      <c r="AB2" s="4"/>
      <c r="AC2" s="4"/>
      <c r="AD2" s="4"/>
    </row>
    <row r="3" spans="1:34" s="81" customFormat="1" ht="12.65" customHeight="1" x14ac:dyDescent="0.35">
      <c r="A3" s="79"/>
      <c r="B3" s="76"/>
      <c r="C3" s="77"/>
      <c r="E3" s="76"/>
      <c r="F3" s="77"/>
      <c r="G3" s="77"/>
      <c r="H3" s="77"/>
      <c r="I3" s="77"/>
      <c r="J3" s="77"/>
      <c r="K3" s="77"/>
      <c r="M3" s="4"/>
      <c r="N3" s="4"/>
      <c r="O3" s="4"/>
      <c r="P3" s="4"/>
      <c r="Q3" s="4"/>
      <c r="R3" s="4"/>
      <c r="S3" s="4"/>
      <c r="T3" s="4"/>
      <c r="U3" s="4"/>
      <c r="V3" s="4"/>
      <c r="W3" s="4"/>
      <c r="X3" s="4"/>
      <c r="Y3" s="4"/>
      <c r="Z3" s="4"/>
      <c r="AA3" s="4"/>
      <c r="AB3" s="4"/>
      <c r="AC3" s="4"/>
      <c r="AD3" s="4"/>
    </row>
    <row r="4" spans="1:34" s="535" customFormat="1" ht="24" customHeight="1" x14ac:dyDescent="0.4">
      <c r="A4" s="481" t="s">
        <v>245</v>
      </c>
      <c r="B4" s="531"/>
      <c r="C4" s="531"/>
      <c r="D4" s="531"/>
      <c r="E4" s="531"/>
      <c r="F4" s="531"/>
      <c r="G4" s="531"/>
      <c r="H4" s="481"/>
      <c r="I4" s="531"/>
      <c r="J4" s="531"/>
      <c r="K4" s="531"/>
      <c r="L4" s="531"/>
      <c r="M4" s="4"/>
      <c r="N4" s="4"/>
      <c r="O4" s="4"/>
      <c r="P4" s="64"/>
      <c r="Q4" s="64"/>
      <c r="R4" s="64"/>
      <c r="S4" s="64"/>
      <c r="T4" s="64"/>
      <c r="U4" s="532"/>
      <c r="V4" s="533"/>
      <c r="W4" s="533"/>
      <c r="X4" s="533"/>
      <c r="Y4" s="533"/>
      <c r="Z4" s="533"/>
      <c r="AA4" s="533"/>
      <c r="AB4" s="533"/>
      <c r="AC4" s="533"/>
      <c r="AD4" s="533"/>
      <c r="AE4" s="534"/>
      <c r="AF4" s="534"/>
      <c r="AG4" s="534"/>
      <c r="AH4" s="534"/>
    </row>
    <row r="5" spans="1:34" s="14" customFormat="1" ht="44.5" customHeight="1" outlineLevel="1" thickBot="1" x14ac:dyDescent="0.4">
      <c r="A5" s="768" t="s">
        <v>406</v>
      </c>
      <c r="B5" s="769"/>
      <c r="C5" s="769"/>
      <c r="D5" s="769"/>
      <c r="E5" s="769"/>
      <c r="F5" s="769"/>
      <c r="G5" s="769"/>
      <c r="H5" s="769"/>
      <c r="I5" s="769"/>
      <c r="J5" s="769"/>
      <c r="K5" s="769"/>
      <c r="L5" s="769"/>
      <c r="M5" s="4"/>
      <c r="N5" s="4"/>
      <c r="O5" s="4"/>
      <c r="P5" s="4"/>
      <c r="Q5" s="4"/>
      <c r="R5" s="4"/>
      <c r="S5" s="4"/>
      <c r="T5" s="4"/>
      <c r="U5" s="4"/>
      <c r="V5" s="4"/>
      <c r="W5" s="4"/>
      <c r="X5" s="4"/>
      <c r="Y5" s="4"/>
      <c r="Z5" s="4"/>
      <c r="AA5" s="4"/>
      <c r="AB5" s="4"/>
      <c r="AC5" s="4"/>
      <c r="AD5" s="4"/>
    </row>
    <row r="6" spans="1:34" ht="16" thickTop="1" x14ac:dyDescent="0.35">
      <c r="M6" s="4"/>
      <c r="N6" s="4"/>
      <c r="O6" s="4"/>
    </row>
    <row r="7" spans="1:34" s="535" customFormat="1" ht="24" customHeight="1" x14ac:dyDescent="0.4">
      <c r="A7" s="481" t="s">
        <v>121</v>
      </c>
      <c r="B7" s="531"/>
      <c r="C7" s="531"/>
      <c r="D7" s="531"/>
      <c r="E7" s="531"/>
      <c r="F7" s="531"/>
      <c r="G7" s="531"/>
      <c r="H7" s="481"/>
      <c r="I7" s="531"/>
      <c r="J7" s="531"/>
      <c r="K7" s="531"/>
      <c r="L7" s="531"/>
      <c r="M7" s="4"/>
      <c r="N7" s="4"/>
      <c r="O7" s="4"/>
      <c r="P7" s="64"/>
      <c r="Q7" s="64"/>
      <c r="R7" s="64"/>
      <c r="S7" s="64"/>
      <c r="T7" s="64"/>
      <c r="U7" s="532"/>
      <c r="V7" s="533"/>
      <c r="W7" s="533"/>
      <c r="X7" s="533"/>
      <c r="Y7" s="533"/>
      <c r="Z7" s="533"/>
      <c r="AA7" s="533"/>
      <c r="AB7" s="533"/>
      <c r="AC7" s="533"/>
      <c r="AD7" s="533"/>
      <c r="AE7" s="534"/>
      <c r="AF7" s="534"/>
      <c r="AG7" s="534"/>
      <c r="AH7" s="534"/>
    </row>
    <row r="8" spans="1:34" s="4" customFormat="1" ht="36.65" customHeight="1" x14ac:dyDescent="0.35">
      <c r="A8" s="88"/>
      <c r="B8" s="88"/>
      <c r="C8" s="89"/>
      <c r="D8" s="89"/>
      <c r="E8" s="91" t="str">
        <f>Erfolgsrechnung!C8</f>
        <v>n = Vorjahr</v>
      </c>
      <c r="F8" s="91" t="str">
        <f>Erfolgsrechnung!D8</f>
        <v>n+1 
(1. PRE-Jahr)</v>
      </c>
      <c r="G8" s="91" t="str">
        <f>Erfolgsrechnung!E8</f>
        <v>n+2</v>
      </c>
      <c r="H8" s="91" t="str">
        <f>Erfolgsrechnung!F8</f>
        <v>n+3</v>
      </c>
      <c r="I8" s="91" t="str">
        <f>Erfolgsrechnung!G8</f>
        <v>n+4</v>
      </c>
      <c r="J8" s="91" t="str">
        <f>Erfolgsrechnung!H8</f>
        <v>n+5</v>
      </c>
      <c r="K8" s="91" t="str">
        <f>Erfolgsrechnung!I8</f>
        <v>n+6</v>
      </c>
      <c r="L8" s="92" t="str">
        <f>Erfolgsrechnung!J8</f>
        <v>1. Jahr nach Umsetzung</v>
      </c>
    </row>
    <row r="9" spans="1:34" s="4" customFormat="1" ht="24" customHeight="1" x14ac:dyDescent="0.35">
      <c r="A9" s="93" t="s">
        <v>138</v>
      </c>
      <c r="B9" s="94"/>
      <c r="C9" s="95"/>
      <c r="D9" s="95"/>
      <c r="E9" s="96">
        <f t="shared" ref="E9:L9" si="0">E11</f>
        <v>0</v>
      </c>
      <c r="F9" s="97">
        <f t="shared" si="0"/>
        <v>0</v>
      </c>
      <c r="G9" s="97">
        <f t="shared" si="0"/>
        <v>0</v>
      </c>
      <c r="H9" s="97">
        <f t="shared" si="0"/>
        <v>0</v>
      </c>
      <c r="I9" s="97">
        <f t="shared" si="0"/>
        <v>0</v>
      </c>
      <c r="J9" s="97">
        <f t="shared" si="0"/>
        <v>0</v>
      </c>
      <c r="K9" s="97">
        <f t="shared" si="0"/>
        <v>0</v>
      </c>
      <c r="L9" s="98">
        <f t="shared" si="0"/>
        <v>0</v>
      </c>
    </row>
    <row r="10" spans="1:34" s="4" customFormat="1" ht="24" customHeight="1" x14ac:dyDescent="0.35">
      <c r="A10" s="99" t="s">
        <v>175</v>
      </c>
      <c r="B10" s="100"/>
      <c r="C10" s="99"/>
      <c r="D10" s="99"/>
      <c r="E10" s="101">
        <f>E9</f>
        <v>0</v>
      </c>
      <c r="F10" s="102">
        <f t="shared" ref="F10:K10" si="1">F9+E10</f>
        <v>0</v>
      </c>
      <c r="G10" s="102">
        <f t="shared" si="1"/>
        <v>0</v>
      </c>
      <c r="H10" s="102">
        <f t="shared" si="1"/>
        <v>0</v>
      </c>
      <c r="I10" s="102">
        <f t="shared" si="1"/>
        <v>0</v>
      </c>
      <c r="J10" s="102">
        <f t="shared" si="1"/>
        <v>0</v>
      </c>
      <c r="K10" s="102">
        <f t="shared" si="1"/>
        <v>0</v>
      </c>
      <c r="L10" s="103">
        <f>L9+J10</f>
        <v>0</v>
      </c>
    </row>
    <row r="11" spans="1:34" s="4" customFormat="1" ht="24" customHeight="1" x14ac:dyDescent="0.35">
      <c r="A11" s="104" t="s">
        <v>379</v>
      </c>
      <c r="E11" s="105">
        <f>Erfolgsrechnung!C43</f>
        <v>0</v>
      </c>
      <c r="F11" s="106">
        <f>Erfolgsrechnung!D43</f>
        <v>0</v>
      </c>
      <c r="G11" s="106">
        <f>Erfolgsrechnung!E43</f>
        <v>0</v>
      </c>
      <c r="H11" s="106">
        <f>Erfolgsrechnung!F43</f>
        <v>0</v>
      </c>
      <c r="I11" s="106">
        <f>Erfolgsrechnung!G43</f>
        <v>0</v>
      </c>
      <c r="J11" s="106">
        <f>Erfolgsrechnung!H43</f>
        <v>0</v>
      </c>
      <c r="K11" s="106">
        <f>Erfolgsrechnung!I43</f>
        <v>0</v>
      </c>
      <c r="L11" s="107">
        <f>Erfolgsrechnung!J43</f>
        <v>0</v>
      </c>
    </row>
    <row r="12" spans="1:34" s="4" customFormat="1" ht="24" customHeight="1" x14ac:dyDescent="0.35">
      <c r="A12" s="104" t="s">
        <v>154</v>
      </c>
      <c r="E12" s="108"/>
      <c r="F12" s="109"/>
      <c r="G12" s="109"/>
      <c r="H12" s="109"/>
      <c r="I12" s="109"/>
      <c r="J12" s="109"/>
      <c r="K12" s="110"/>
      <c r="L12" s="111"/>
    </row>
    <row r="13" spans="1:34" s="4" customFormat="1" ht="24" customHeight="1" x14ac:dyDescent="0.35">
      <c r="A13" s="104" t="s">
        <v>148</v>
      </c>
      <c r="E13" s="108"/>
      <c r="F13" s="109"/>
      <c r="G13" s="109"/>
      <c r="H13" s="109"/>
      <c r="I13" s="109"/>
      <c r="J13" s="109"/>
      <c r="K13" s="110"/>
      <c r="L13" s="111"/>
    </row>
    <row r="14" spans="1:34" s="4" customFormat="1" ht="8.5" customHeight="1" x14ac:dyDescent="0.35">
      <c r="A14" s="100"/>
      <c r="B14" s="99"/>
      <c r="C14" s="99"/>
      <c r="D14" s="99"/>
      <c r="E14" s="101"/>
      <c r="F14" s="102"/>
      <c r="G14" s="102"/>
      <c r="H14" s="102"/>
      <c r="I14" s="102"/>
      <c r="J14" s="102"/>
      <c r="K14" s="112"/>
      <c r="L14" s="103"/>
    </row>
    <row r="15" spans="1:34" s="4" customFormat="1" ht="24" customHeight="1" x14ac:dyDescent="0.35">
      <c r="A15" s="93" t="s">
        <v>137</v>
      </c>
      <c r="B15" s="94"/>
      <c r="C15" s="95"/>
      <c r="D15" s="95"/>
      <c r="E15" s="113">
        <f>E17-E18</f>
        <v>0</v>
      </c>
      <c r="F15" s="114">
        <f t="shared" ref="F15:L15" si="2">F17-F18</f>
        <v>0</v>
      </c>
      <c r="G15" s="114">
        <f t="shared" si="2"/>
        <v>0</v>
      </c>
      <c r="H15" s="114">
        <f t="shared" si="2"/>
        <v>0</v>
      </c>
      <c r="I15" s="114">
        <f t="shared" si="2"/>
        <v>0</v>
      </c>
      <c r="J15" s="114">
        <f t="shared" si="2"/>
        <v>0</v>
      </c>
      <c r="K15" s="114">
        <f t="shared" si="2"/>
        <v>0</v>
      </c>
      <c r="L15" s="115">
        <f t="shared" si="2"/>
        <v>0</v>
      </c>
    </row>
    <row r="16" spans="1:34" s="4" customFormat="1" ht="24" customHeight="1" x14ac:dyDescent="0.35">
      <c r="A16" s="99" t="s">
        <v>176</v>
      </c>
      <c r="B16" s="100"/>
      <c r="C16" s="99"/>
      <c r="D16" s="99"/>
      <c r="E16" s="101">
        <f>E15</f>
        <v>0</v>
      </c>
      <c r="F16" s="102">
        <f t="shared" ref="F16:L16" si="3">F15+E16</f>
        <v>0</v>
      </c>
      <c r="G16" s="102">
        <f t="shared" si="3"/>
        <v>0</v>
      </c>
      <c r="H16" s="102">
        <f t="shared" si="3"/>
        <v>0</v>
      </c>
      <c r="I16" s="102">
        <f t="shared" si="3"/>
        <v>0</v>
      </c>
      <c r="J16" s="102">
        <f t="shared" si="3"/>
        <v>0</v>
      </c>
      <c r="K16" s="102">
        <f t="shared" si="3"/>
        <v>0</v>
      </c>
      <c r="L16" s="103">
        <f t="shared" si="3"/>
        <v>0</v>
      </c>
    </row>
    <row r="17" spans="1:12" s="4" customFormat="1" ht="24" customHeight="1" x14ac:dyDescent="0.35">
      <c r="A17" s="116" t="s">
        <v>102</v>
      </c>
      <c r="B17" s="95"/>
      <c r="C17" s="95"/>
      <c r="D17" s="95"/>
      <c r="E17" s="117">
        <f>Finanzierung!E150</f>
        <v>0</v>
      </c>
      <c r="F17" s="118">
        <f>Finanzierung!F150</f>
        <v>0</v>
      </c>
      <c r="G17" s="118">
        <f>Finanzierung!G150</f>
        <v>0</v>
      </c>
      <c r="H17" s="118">
        <f>Finanzierung!H150</f>
        <v>0</v>
      </c>
      <c r="I17" s="118">
        <f>Finanzierung!I150</f>
        <v>0</v>
      </c>
      <c r="J17" s="118">
        <f>Finanzierung!J150</f>
        <v>0</v>
      </c>
      <c r="K17" s="118">
        <f>Finanzierung!K150</f>
        <v>0</v>
      </c>
      <c r="L17" s="119">
        <f>Finanzierung!L150</f>
        <v>0</v>
      </c>
    </row>
    <row r="18" spans="1:12" s="4" customFormat="1" ht="24" customHeight="1" x14ac:dyDescent="0.35">
      <c r="A18" s="120" t="s">
        <v>58</v>
      </c>
      <c r="C18" s="95"/>
      <c r="D18" s="95"/>
      <c r="E18" s="117">
        <f>Finanzierung!E12+Finanzierung!E27+Finanzierung!E42+Finanzierung!E57+Finanzierung!E72+Finanzierung!E87+Finanzierung!E102+Finanzierung!E117+Finanzierung!E132</f>
        <v>0</v>
      </c>
      <c r="F18" s="117">
        <f>Finanzierung!F12+Finanzierung!F27+Finanzierung!F42+Finanzierung!F57+Finanzierung!F72+Finanzierung!F87+Finanzierung!F102+Finanzierung!F117+Finanzierung!F132</f>
        <v>0</v>
      </c>
      <c r="G18" s="117">
        <f>Finanzierung!G12+Finanzierung!G27+Finanzierung!G42+Finanzierung!G57+Finanzierung!G72+Finanzierung!G87+Finanzierung!G102+Finanzierung!G117+Finanzierung!G132</f>
        <v>0</v>
      </c>
      <c r="H18" s="117">
        <f>Finanzierung!H12+Finanzierung!H27+Finanzierung!H42+Finanzierung!H57+Finanzierung!H72+Finanzierung!H87+Finanzierung!H102+Finanzierung!H117+Finanzierung!H132</f>
        <v>0</v>
      </c>
      <c r="I18" s="117">
        <f>Finanzierung!I12+Finanzierung!I27+Finanzierung!I42+Finanzierung!I57+Finanzierung!I72+Finanzierung!I87+Finanzierung!I102+Finanzierung!I117+Finanzierung!I132</f>
        <v>0</v>
      </c>
      <c r="J18" s="117">
        <f>Finanzierung!J12+Finanzierung!J27+Finanzierung!J42+Finanzierung!J57+Finanzierung!J72+Finanzierung!J87+Finanzierung!J102+Finanzierung!J117+Finanzierung!J132</f>
        <v>0</v>
      </c>
      <c r="K18" s="117">
        <f>Finanzierung!K12+Finanzierung!K27+Finanzierung!K42+Finanzierung!K57+Finanzierung!K72+Finanzierung!K87+Finanzierung!K102+Finanzierung!K117+Finanzierung!K132</f>
        <v>0</v>
      </c>
      <c r="L18" s="119">
        <f>Finanzierung!L12+Finanzierung!L27+Finanzierung!L42+Finanzierung!L57+Finanzierung!L72+Finanzierung!L87+Finanzierung!L102+Finanzierung!L117+Finanzierung!L132</f>
        <v>0</v>
      </c>
    </row>
    <row r="19" spans="1:12" s="4" customFormat="1" ht="8.5" customHeight="1" x14ac:dyDescent="0.35">
      <c r="A19" s="100"/>
      <c r="B19" s="99"/>
      <c r="C19" s="99"/>
      <c r="D19" s="99"/>
      <c r="E19" s="101"/>
      <c r="F19" s="102"/>
      <c r="G19" s="102"/>
      <c r="H19" s="102"/>
      <c r="I19" s="102"/>
      <c r="J19" s="102"/>
      <c r="K19" s="112"/>
      <c r="L19" s="103"/>
    </row>
    <row r="20" spans="1:12" s="4" customFormat="1" ht="24" customHeight="1" x14ac:dyDescent="0.35">
      <c r="A20" s="121" t="s">
        <v>266</v>
      </c>
      <c r="B20" s="122"/>
      <c r="C20" s="122"/>
      <c r="D20" s="122"/>
      <c r="E20" s="123" t="str">
        <f t="shared" ref="E20:L20" si="4">IFERROR(E9/E15,"N/A")</f>
        <v>N/A</v>
      </c>
      <c r="F20" s="124" t="str">
        <f t="shared" si="4"/>
        <v>N/A</v>
      </c>
      <c r="G20" s="124" t="str">
        <f t="shared" si="4"/>
        <v>N/A</v>
      </c>
      <c r="H20" s="124" t="str">
        <f t="shared" si="4"/>
        <v>N/A</v>
      </c>
      <c r="I20" s="124" t="str">
        <f t="shared" si="4"/>
        <v>N/A</v>
      </c>
      <c r="J20" s="124" t="str">
        <f t="shared" si="4"/>
        <v>N/A</v>
      </c>
      <c r="K20" s="124" t="str">
        <f t="shared" si="4"/>
        <v>N/A</v>
      </c>
      <c r="L20" s="125" t="str">
        <f t="shared" si="4"/>
        <v>N/A</v>
      </c>
    </row>
    <row r="21" spans="1:12" s="4" customFormat="1" ht="24" customHeight="1" x14ac:dyDescent="0.35">
      <c r="A21" s="93" t="s">
        <v>139</v>
      </c>
      <c r="B21" s="95"/>
      <c r="C21" s="95"/>
      <c r="D21" s="95"/>
      <c r="E21" s="126">
        <f t="shared" ref="E21:L21" si="5">E23-E24</f>
        <v>0</v>
      </c>
      <c r="F21" s="127">
        <f>F23-F24</f>
        <v>0</v>
      </c>
      <c r="G21" s="127">
        <f t="shared" si="5"/>
        <v>0</v>
      </c>
      <c r="H21" s="127">
        <f t="shared" si="5"/>
        <v>0</v>
      </c>
      <c r="I21" s="127">
        <f t="shared" si="5"/>
        <v>0</v>
      </c>
      <c r="J21" s="127">
        <f t="shared" si="5"/>
        <v>0</v>
      </c>
      <c r="K21" s="127">
        <f t="shared" si="5"/>
        <v>0</v>
      </c>
      <c r="L21" s="128">
        <f t="shared" si="5"/>
        <v>0</v>
      </c>
    </row>
    <row r="22" spans="1:12" s="4" customFormat="1" ht="24" customHeight="1" x14ac:dyDescent="0.35">
      <c r="A22" s="99" t="s">
        <v>177</v>
      </c>
      <c r="B22" s="100"/>
      <c r="C22" s="99"/>
      <c r="D22" s="99"/>
      <c r="E22" s="755">
        <f>E21</f>
        <v>0</v>
      </c>
      <c r="F22" s="756">
        <f>F21+E22</f>
        <v>0</v>
      </c>
      <c r="G22" s="756">
        <f>G21+F22</f>
        <v>0</v>
      </c>
      <c r="H22" s="756">
        <f t="shared" ref="H22:L22" si="6">H21+G22</f>
        <v>0</v>
      </c>
      <c r="I22" s="756">
        <f t="shared" si="6"/>
        <v>0</v>
      </c>
      <c r="J22" s="756">
        <f t="shared" si="6"/>
        <v>0</v>
      </c>
      <c r="K22" s="756">
        <f t="shared" si="6"/>
        <v>0</v>
      </c>
      <c r="L22" s="757">
        <f t="shared" si="6"/>
        <v>0</v>
      </c>
    </row>
    <row r="23" spans="1:12" s="4" customFormat="1" ht="24" customHeight="1" x14ac:dyDescent="0.35">
      <c r="A23" s="116" t="s">
        <v>381</v>
      </c>
      <c r="B23" s="95"/>
      <c r="C23" s="95"/>
      <c r="D23" s="95"/>
      <c r="E23" s="117">
        <f>Finanzierung!E166</f>
        <v>0</v>
      </c>
      <c r="F23" s="117">
        <f>Finanzierung!F166</f>
        <v>0</v>
      </c>
      <c r="G23" s="117">
        <f>Finanzierung!G166</f>
        <v>0</v>
      </c>
      <c r="H23" s="117">
        <f>Finanzierung!H166</f>
        <v>0</v>
      </c>
      <c r="I23" s="117">
        <f>Finanzierung!I166</f>
        <v>0</v>
      </c>
      <c r="J23" s="117">
        <f>Finanzierung!J166</f>
        <v>0</v>
      </c>
      <c r="K23" s="117">
        <f>Finanzierung!K166</f>
        <v>0</v>
      </c>
      <c r="L23" s="683">
        <f>Finanzierung!L166</f>
        <v>0</v>
      </c>
    </row>
    <row r="24" spans="1:12" s="4" customFormat="1" ht="24" customHeight="1" x14ac:dyDescent="0.35">
      <c r="A24" s="120" t="s">
        <v>382</v>
      </c>
      <c r="B24" s="95"/>
      <c r="C24" s="95"/>
      <c r="D24" s="95"/>
      <c r="E24" s="117">
        <f>Finanzierung!E172</f>
        <v>0</v>
      </c>
      <c r="F24" s="117">
        <f>Finanzierung!F172</f>
        <v>0</v>
      </c>
      <c r="G24" s="117">
        <f>Finanzierung!G172</f>
        <v>0</v>
      </c>
      <c r="H24" s="117">
        <f>Finanzierung!H172</f>
        <v>0</v>
      </c>
      <c r="I24" s="117">
        <f>Finanzierung!I172</f>
        <v>0</v>
      </c>
      <c r="J24" s="117">
        <f>Finanzierung!J172</f>
        <v>0</v>
      </c>
      <c r="K24" s="117">
        <f>Finanzierung!K172</f>
        <v>0</v>
      </c>
      <c r="L24" s="119">
        <f>Finanzierung!L172</f>
        <v>0</v>
      </c>
    </row>
    <row r="25" spans="1:12" s="4" customFormat="1" ht="8.5" customHeight="1" x14ac:dyDescent="0.35">
      <c r="A25" s="100"/>
      <c r="B25" s="99"/>
      <c r="C25" s="99"/>
      <c r="D25" s="99"/>
      <c r="E25" s="101"/>
      <c r="F25" s="102"/>
      <c r="G25" s="102"/>
      <c r="H25" s="102"/>
      <c r="I25" s="102"/>
      <c r="J25" s="102"/>
      <c r="K25" s="112"/>
      <c r="L25" s="103"/>
    </row>
    <row r="26" spans="1:12" s="4" customFormat="1" ht="24" customHeight="1" x14ac:dyDescent="0.35">
      <c r="A26" s="680" t="s">
        <v>385</v>
      </c>
      <c r="B26" s="681"/>
      <c r="C26" s="221"/>
      <c r="D26" s="221"/>
      <c r="E26" s="682">
        <f t="shared" ref="E26:L26" si="7">E11+E24</f>
        <v>0</v>
      </c>
      <c r="F26" s="682">
        <f t="shared" si="7"/>
        <v>0</v>
      </c>
      <c r="G26" s="682">
        <f t="shared" si="7"/>
        <v>0</v>
      </c>
      <c r="H26" s="682">
        <f t="shared" si="7"/>
        <v>0</v>
      </c>
      <c r="I26" s="682">
        <f t="shared" si="7"/>
        <v>0</v>
      </c>
      <c r="J26" s="682">
        <f t="shared" si="7"/>
        <v>0</v>
      </c>
      <c r="K26" s="682">
        <f t="shared" si="7"/>
        <v>0</v>
      </c>
      <c r="L26" s="683">
        <f t="shared" si="7"/>
        <v>0</v>
      </c>
    </row>
    <row r="27" spans="1:12" s="4" customFormat="1" ht="24" customHeight="1" x14ac:dyDescent="0.35">
      <c r="A27" s="469" t="s">
        <v>383</v>
      </c>
      <c r="B27" s="679"/>
      <c r="C27" s="93"/>
      <c r="D27" s="93"/>
      <c r="E27" s="126">
        <f>E21+E15+E9</f>
        <v>0</v>
      </c>
      <c r="F27" s="127">
        <f t="shared" ref="F27:L27" si="8">F21+F15+F9</f>
        <v>0</v>
      </c>
      <c r="G27" s="127">
        <f t="shared" si="8"/>
        <v>0</v>
      </c>
      <c r="H27" s="127">
        <f t="shared" si="8"/>
        <v>0</v>
      </c>
      <c r="I27" s="127">
        <f t="shared" si="8"/>
        <v>0</v>
      </c>
      <c r="J27" s="127">
        <f t="shared" si="8"/>
        <v>0</v>
      </c>
      <c r="K27" s="127">
        <f t="shared" si="8"/>
        <v>0</v>
      </c>
      <c r="L27" s="128">
        <f t="shared" si="8"/>
        <v>0</v>
      </c>
    </row>
    <row r="28" spans="1:12" s="4" customFormat="1" ht="24" customHeight="1" thickBot="1" x14ac:dyDescent="0.4">
      <c r="A28" s="129" t="s">
        <v>384</v>
      </c>
      <c r="B28" s="130"/>
      <c r="C28" s="131"/>
      <c r="D28" s="131"/>
      <c r="E28" s="132">
        <f>E27</f>
        <v>0</v>
      </c>
      <c r="F28" s="133">
        <f>F27+E28</f>
        <v>0</v>
      </c>
      <c r="G28" s="133">
        <f t="shared" ref="G28:L28" si="9">F28+G27</f>
        <v>0</v>
      </c>
      <c r="H28" s="133">
        <f t="shared" si="9"/>
        <v>0</v>
      </c>
      <c r="I28" s="133">
        <f t="shared" si="9"/>
        <v>0</v>
      </c>
      <c r="J28" s="133">
        <f t="shared" si="9"/>
        <v>0</v>
      </c>
      <c r="K28" s="133">
        <f t="shared" si="9"/>
        <v>0</v>
      </c>
      <c r="L28" s="134">
        <f t="shared" si="9"/>
        <v>0</v>
      </c>
    </row>
    <row r="29" spans="1:12" s="4" customFormat="1" ht="5.15" customHeight="1" thickTop="1" x14ac:dyDescent="0.35">
      <c r="A29" s="135"/>
      <c r="B29" s="104"/>
      <c r="E29" s="136"/>
      <c r="F29" s="136"/>
      <c r="G29" s="136"/>
      <c r="H29" s="136"/>
      <c r="I29" s="136"/>
      <c r="J29" s="136"/>
      <c r="K29" s="136"/>
      <c r="L29" s="136"/>
    </row>
    <row r="30" spans="1:12" s="4" customFormat="1" ht="7.5" customHeight="1" x14ac:dyDescent="0.35">
      <c r="A30" s="104"/>
      <c r="C30" s="137"/>
      <c r="D30" s="138"/>
      <c r="E30" s="138"/>
      <c r="F30" s="138"/>
      <c r="G30" s="138"/>
      <c r="H30" s="138"/>
      <c r="I30" s="138"/>
      <c r="J30" s="138"/>
      <c r="K30" s="138"/>
      <c r="L30" s="138"/>
    </row>
  </sheetData>
  <sheetProtection sheet="1" objects="1" scenarios="1"/>
  <mergeCells count="1">
    <mergeCell ref="A5:L5"/>
  </mergeCells>
  <conditionalFormatting sqref="E26:L28">
    <cfRule type="cellIs" dxfId="48" priority="1" operator="lessThan">
      <formula>0</formula>
    </cfRule>
  </conditionalFormatting>
  <pageMargins left="0.7" right="0.7" top="0.78740157499999996" bottom="0.78740157499999996" header="0.3" footer="0.3"/>
  <ignoredErrors>
    <ignoredError sqref="E8:L14 E28:L28 F27:L27 E16:L26 F15:L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7"/>
  <sheetViews>
    <sheetView zoomScale="90" zoomScaleNormal="90" zoomScaleSheetLayoutView="70" workbookViewId="0">
      <selection activeCell="S8" sqref="S8"/>
    </sheetView>
  </sheetViews>
  <sheetFormatPr baseColWidth="10" defaultRowHeight="14" outlineLevelRow="1" x14ac:dyDescent="0.3"/>
  <cols>
    <col min="1" max="1" width="13.33203125" customWidth="1"/>
    <col min="3" max="3" width="20.5" customWidth="1"/>
    <col min="4" max="4" width="22.58203125" customWidth="1"/>
    <col min="8" max="9" width="11" customWidth="1"/>
    <col min="12" max="13" width="11" customWidth="1"/>
    <col min="16" max="17" width="11" customWidth="1"/>
  </cols>
  <sheetData>
    <row r="1" spans="1:44" s="393" customFormat="1" ht="26.5" customHeight="1" x14ac:dyDescent="0.3">
      <c r="A1" s="477" t="s">
        <v>373</v>
      </c>
      <c r="B1" s="74"/>
      <c r="C1" s="74"/>
      <c r="D1" s="74"/>
      <c r="E1" s="74"/>
      <c r="F1" s="74"/>
      <c r="G1" s="74"/>
      <c r="H1" s="74"/>
      <c r="I1" s="74"/>
      <c r="J1" s="74"/>
      <c r="K1" s="74"/>
      <c r="L1" s="74"/>
      <c r="M1" s="74"/>
      <c r="N1" s="74"/>
      <c r="O1" s="74"/>
      <c r="P1" s="392"/>
      <c r="Q1" s="74"/>
      <c r="R1"/>
      <c r="S1"/>
      <c r="T1"/>
      <c r="U1"/>
      <c r="V1"/>
      <c r="W1" s="8"/>
      <c r="X1" s="8"/>
      <c r="Y1" s="8"/>
      <c r="Z1" s="8"/>
      <c r="AA1" s="8"/>
      <c r="AB1" s="8"/>
      <c r="AC1" s="8"/>
      <c r="AD1" s="8"/>
      <c r="AE1" s="8"/>
      <c r="AF1" s="8"/>
      <c r="AG1" s="8"/>
      <c r="AH1" s="8"/>
      <c r="AI1" s="8"/>
      <c r="AJ1" s="8"/>
      <c r="AK1" s="8"/>
      <c r="AL1" s="8"/>
      <c r="AM1" s="8"/>
      <c r="AN1" s="8"/>
      <c r="AO1" s="8"/>
      <c r="AP1" s="8"/>
      <c r="AQ1" s="8"/>
      <c r="AR1" s="8"/>
    </row>
    <row r="2" spans="1:44" s="1" customFormat="1" ht="28.5" customHeight="1" x14ac:dyDescent="0.3">
      <c r="A2" s="481" t="s">
        <v>245</v>
      </c>
      <c r="B2" s="6"/>
      <c r="C2" s="6"/>
      <c r="D2" s="6"/>
      <c r="E2" s="6"/>
      <c r="F2" s="6"/>
      <c r="G2" s="6"/>
      <c r="H2" s="6"/>
      <c r="I2" s="6"/>
      <c r="J2" s="7"/>
      <c r="K2" s="6"/>
      <c r="L2" s="6"/>
      <c r="M2" s="6"/>
      <c r="N2" s="6"/>
      <c r="O2" s="6"/>
      <c r="P2" s="6"/>
      <c r="Q2" s="6"/>
      <c r="R2"/>
      <c r="S2"/>
      <c r="T2"/>
      <c r="U2"/>
      <c r="V2"/>
      <c r="W2" s="225"/>
      <c r="X2" s="225"/>
      <c r="Y2" s="225"/>
      <c r="Z2" s="225"/>
      <c r="AA2" s="8"/>
      <c r="AB2" s="8"/>
      <c r="AC2" s="8"/>
      <c r="AD2" s="8"/>
      <c r="AE2" s="8"/>
      <c r="AF2" s="8"/>
      <c r="AG2" s="8"/>
      <c r="AH2" s="8"/>
      <c r="AI2" s="8"/>
      <c r="AJ2" s="239"/>
      <c r="AK2" s="239"/>
      <c r="AL2" s="239"/>
      <c r="AM2" s="239"/>
    </row>
    <row r="3" spans="1:44" s="14" customFormat="1" ht="88" customHeight="1" outlineLevel="1" x14ac:dyDescent="0.35">
      <c r="A3" s="771" t="s">
        <v>402</v>
      </c>
      <c r="B3" s="772"/>
      <c r="C3" s="772"/>
      <c r="D3" s="772"/>
      <c r="E3" s="772"/>
      <c r="F3" s="772"/>
      <c r="G3" s="772"/>
      <c r="H3" s="772"/>
      <c r="I3" s="772"/>
      <c r="J3" s="772"/>
      <c r="K3" s="772"/>
      <c r="L3" s="772"/>
      <c r="M3" s="772"/>
      <c r="N3" s="772"/>
      <c r="O3" s="772"/>
      <c r="P3" s="772"/>
      <c r="Q3" s="772"/>
      <c r="R3"/>
      <c r="S3"/>
      <c r="T3"/>
      <c r="U3"/>
      <c r="V3"/>
      <c r="W3" s="225"/>
      <c r="X3" s="225"/>
      <c r="Y3" s="225"/>
      <c r="Z3" s="225"/>
      <c r="AA3" s="8"/>
      <c r="AB3" s="8"/>
      <c r="AC3" s="8"/>
      <c r="AD3" s="8"/>
      <c r="AE3" s="8"/>
      <c r="AF3" s="8"/>
      <c r="AG3" s="8"/>
      <c r="AH3" s="8"/>
      <c r="AI3" s="8"/>
    </row>
    <row r="4" spans="1:44" s="673" customFormat="1" ht="34.5" x14ac:dyDescent="0.3">
      <c r="A4" s="668" t="s">
        <v>374</v>
      </c>
      <c r="B4" s="668" t="s">
        <v>375</v>
      </c>
      <c r="C4" s="668" t="s">
        <v>376</v>
      </c>
      <c r="D4" s="668" t="s">
        <v>237</v>
      </c>
      <c r="E4" s="708" t="s">
        <v>377</v>
      </c>
      <c r="F4" s="706" t="s">
        <v>398</v>
      </c>
      <c r="G4" s="669" t="s">
        <v>378</v>
      </c>
      <c r="H4" s="670" t="s">
        <v>238</v>
      </c>
      <c r="I4" s="671" t="s">
        <v>239</v>
      </c>
      <c r="J4" s="670" t="s">
        <v>240</v>
      </c>
      <c r="K4" s="671" t="s">
        <v>241</v>
      </c>
      <c r="L4" s="670" t="s">
        <v>243</v>
      </c>
      <c r="M4" s="671" t="s">
        <v>242</v>
      </c>
      <c r="N4" s="672"/>
      <c r="O4" s="672"/>
      <c r="R4"/>
      <c r="S4"/>
      <c r="T4"/>
      <c r="U4"/>
      <c r="V4"/>
    </row>
    <row r="5" spans="1:44" ht="31.5" customHeight="1" x14ac:dyDescent="0.35">
      <c r="A5" s="473" t="str">
        <f>IF('Übersicht TP '!$B$2="","",'Übersicht TP '!$B$2)</f>
        <v/>
      </c>
      <c r="B5" s="674" t="str">
        <f>IF('Übersicht TP '!$B$4="auswählen","",'Übersicht TP '!$B$4)</f>
        <v/>
      </c>
      <c r="C5" s="674" t="str">
        <f>IF('Übersicht TP '!$B$5="","",'Übersicht TP '!$B$5)</f>
        <v/>
      </c>
      <c r="D5" s="470" t="s">
        <v>359</v>
      </c>
      <c r="E5" s="709" t="s">
        <v>53</v>
      </c>
      <c r="F5" s="707" t="str">
        <f>IF('Übersicht TP '!$D$2="","",'Übersicht TP '!$D$2)</f>
        <v/>
      </c>
      <c r="G5" s="705">
        <f>Erfolgsrechnung!C9</f>
        <v>0</v>
      </c>
      <c r="H5" s="471">
        <f>Erfolgsrechnung!E9</f>
        <v>0</v>
      </c>
      <c r="I5" s="472"/>
      <c r="J5" s="471">
        <f>Erfolgsrechnung!G9</f>
        <v>0</v>
      </c>
      <c r="K5" s="472"/>
      <c r="L5" s="471">
        <f>Erfolgsrechnung!I9</f>
        <v>0</v>
      </c>
      <c r="M5" s="472"/>
      <c r="N5" s="675" t="s">
        <v>368</v>
      </c>
    </row>
    <row r="6" spans="1:44" ht="31.5" customHeight="1" x14ac:dyDescent="0.35">
      <c r="A6" s="698"/>
      <c r="B6" s="674" t="str">
        <f>IF('Übersicht TP '!$B$4="auswählen","",'Übersicht TP '!$B$4)</f>
        <v/>
      </c>
      <c r="C6" s="674" t="str">
        <f>IF('Übersicht TP '!$B$5="","",'Übersicht TP '!$B$5)</f>
        <v/>
      </c>
      <c r="D6" s="470" t="str">
        <f>IF(AND('Übersicht TP '!$B$8="Betriebszweig",OR('Übersicht TP '!$B$4="Vermarktung",'Übersicht TP '!$B$4="Verarbeitung")),'Dropdown input'!M50,IF(AND('Übersicht TP '!$B$8="Betriebszweig",OR('Übersicht TP '!$B$4="Aufbau_Weiterentwicklung_Betriebszweig_auf_LW_Betrieb",'Übersicht TP '!$B$4="Produktion",'Übersicht TP '!$B$4="Weiteres")),'Dropdown input'!J50,IF(AND('Übersicht TP '!$B$8="Betrieb",OR('Übersicht TP '!$B$4="Vermarktung",'Übersicht TP '!$B$4="Verarbeitung")),'Dropdown input'!G50,'Dropdown input'!D50)))</f>
        <v>Stellenprozente</v>
      </c>
      <c r="E6" s="709" t="str">
        <f>IF(AND('Übersicht TP '!$B$8="Betriebszweig",OR('Übersicht TP '!$B$4="Vermarktung",'Übersicht TP '!$B$4="Verarbeitung")),'Dropdown input'!N50,IF(AND('Übersicht TP '!$B$8="Betriebszweig",OR('Übersicht TP '!$B$4="Aufbau_Weiterentwicklung_Betriebszweig_auf_LW_Betrieb",'Übersicht TP '!$B$4="Produktion",'Übersicht TP '!$B$4="Weiteres")),'Dropdown input'!K50,IF(AND('Übersicht TP '!$B$8="Betrieb",OR('Übersicht TP '!$B$4="Vermarktung",'Übersicht TP '!$B$4="Verarbeitung")),'Dropdown input'!H50,'Dropdown input'!E50)))</f>
        <v>% in Dezimal</v>
      </c>
      <c r="F6" s="707" t="str">
        <f>IF('Übersicht TP '!$D$2="","",'Übersicht TP '!$D$2)</f>
        <v/>
      </c>
      <c r="G6" s="474"/>
      <c r="H6" s="475"/>
      <c r="I6" s="476"/>
      <c r="J6" s="475"/>
      <c r="K6" s="476"/>
      <c r="L6" s="475"/>
      <c r="M6" s="476"/>
      <c r="N6" s="675" t="s">
        <v>368</v>
      </c>
    </row>
    <row r="7" spans="1:44" ht="31.5" customHeight="1" x14ac:dyDescent="0.35">
      <c r="A7" s="698"/>
      <c r="B7" s="674" t="str">
        <f>IF('Übersicht TP '!$B$4="auswählen","",'Übersicht TP '!$B$4)</f>
        <v/>
      </c>
      <c r="C7" s="674" t="str">
        <f>IF('Übersicht TP '!$B$5="","",'Übersicht TP '!$B$5)</f>
        <v/>
      </c>
      <c r="D7" s="470" t="str">
        <f>IF(AND('Übersicht TP '!$B$8="Betriebszweig",OR('Übersicht TP '!$B$4="Vermarktung",'Übersicht TP '!$B$4="Verarbeitung")),'Dropdown input'!M51,IF(AND('Übersicht TP '!$B$8="Betriebszweig",OR('Übersicht TP '!$B$4="Aufbau_Weiterentwicklung_Betriebszweig_auf_LW_Betrieb",'Übersicht TP '!$B$4="Produktion",'Übersicht TP '!$B$4="Weiteres")),'Dropdown input'!J51,IF(AND('Übersicht TP '!$B$8="Betrieb",OR('Übersicht TP '!$B$4="Vermarktung",'Übersicht TP '!$B$4="Verarbeitung")),'Dropdown input'!G51,'Dropdown input'!D51)))</f>
        <v>EBITDA</v>
      </c>
      <c r="E7" s="709" t="str">
        <f>IF(AND('Übersicht TP '!$B$8="Betriebszweig",OR('Übersicht TP '!$B$4="Vermarktung",'Übersicht TP '!$B$4="Verarbeitung")),'Dropdown input'!N51,IF(AND('Übersicht TP '!$B$8="Betriebszweig",OR('Übersicht TP '!$B$4="Aufbau_Weiterentwicklung_Betriebszweig_auf_LW_Betrieb",'Übersicht TP '!$B$4="Produktion",'Übersicht TP '!$B$4="Weiteres")),'Dropdown input'!K51,IF(AND('Übersicht TP '!$B$8="Betrieb",OR('Übersicht TP '!$B$4="Vermarktung",'Übersicht TP '!$B$4="Verarbeitung")),'Dropdown input'!H51,'Dropdown input'!E51)))</f>
        <v>CHF</v>
      </c>
      <c r="F7" s="707" t="str">
        <f>IF('Übersicht TP '!$D$2="","",'Übersicht TP '!$D$2)</f>
        <v/>
      </c>
      <c r="G7" s="474">
        <f>IF('Übersicht TP '!$B$8="Betrieb",Erfolgsrechnung!C43,Erfolgsrechnung!L10)</f>
        <v>0</v>
      </c>
      <c r="H7" s="475" t="str">
        <f>IF('Übersicht TP '!$B$8="Betrieb",Erfolgsrechnung!E43,"")</f>
        <v/>
      </c>
      <c r="I7" s="476"/>
      <c r="J7" s="475" t="str">
        <f>IF('Übersicht TP '!$B$8="Betrieb",Erfolgsrechnung!G43,"")</f>
        <v/>
      </c>
      <c r="K7" s="476"/>
      <c r="L7" s="475">
        <f>IF('Übersicht TP '!$B$8="Betrieb",Erfolgsrechnung!I43,Erfolgsrechnung!M10)</f>
        <v>0</v>
      </c>
      <c r="M7" s="476"/>
      <c r="N7" s="675" t="str">
        <f>IF(D7="EBITDA","alle Jahre ausfüllen","nur für 'n' und 'n+6' ausfüllen")</f>
        <v>alle Jahre ausfüllen</v>
      </c>
    </row>
    <row r="8" spans="1:44" ht="31.5" customHeight="1" x14ac:dyDescent="0.35">
      <c r="A8" s="698"/>
      <c r="B8" s="674" t="str">
        <f>IF('Übersicht TP '!$B$4="auswählen","",'Übersicht TP '!$B$4)</f>
        <v/>
      </c>
      <c r="C8" s="674" t="str">
        <f>IF('Übersicht TP '!$B$5="","",'Übersicht TP '!$B$5)</f>
        <v/>
      </c>
      <c r="D8" s="470" t="str">
        <f>IF(AND('Übersicht TP '!$B$8="Betriebszweig",OR('Übersicht TP '!$B$4="Vermarktung",'Übersicht TP '!$B$4="Verarbeitung")),'Dropdown input'!M52,IF(AND('Übersicht TP '!$B$8="Betriebszweig",OR('Übersicht TP '!$B$4="Aufbau_Weiterentwicklung_Betriebszweig_auf_LW_Betrieb",'Übersicht TP '!$B$4="Produktion",'Übersicht TP '!$B$4="Weiteres")),'Dropdown input'!J52,IF(AND('Übersicht TP '!$B$8="Betrieb",OR('Übersicht TP '!$B$4="Vermarktung",'Übersicht TP '!$B$4="Verarbeitung")),'Dropdown input'!G52,'Dropdown input'!D52)))</f>
        <v>Verschuldungsfaktor</v>
      </c>
      <c r="E8" s="709" t="str">
        <f>IF(AND('Übersicht TP '!$B$8="Betriebszweig",OR('Übersicht TP '!$B$4="Vermarktung",'Übersicht TP '!$B$4="Verarbeitung")),'Dropdown input'!N52,IF(AND('Übersicht TP '!$B$8="Betriebszweig",OR('Übersicht TP '!$B$4="Aufbau_Weiterentwicklung_Betriebszweig_auf_LW_Betrieb",'Übersicht TP '!$B$4="Produktion",'Übersicht TP '!$B$4="Weiteres")),'Dropdown input'!K52,IF(AND('Übersicht TP '!$B$8="Betrieb",OR('Übersicht TP '!$B$4="Vermarktung",'Übersicht TP '!$B$4="Verarbeitung")),'Dropdown input'!H52,'Dropdown input'!E52)))</f>
        <v>Jahr</v>
      </c>
      <c r="F8" s="707" t="str">
        <f>IF('Übersicht TP '!$D$2="","",'Übersicht TP '!$D$2)</f>
        <v/>
      </c>
      <c r="G8" s="474">
        <f>IF('Übersicht TP '!$B$8="Betrieb",Finanzierung!E167,Erfolgsrechnung!N10)</f>
        <v>0</v>
      </c>
      <c r="H8" s="475" t="str">
        <f>IF('Übersicht TP '!$B$8="Betrieb",Finanzierung!G167,"")</f>
        <v/>
      </c>
      <c r="I8" s="476"/>
      <c r="J8" s="475" t="str">
        <f>IF('Übersicht TP '!$B$8="Betrieb",Finanzierung!I167,"")</f>
        <v/>
      </c>
      <c r="K8" s="476"/>
      <c r="L8" s="475">
        <f>IF('Übersicht TP '!$B$8="Betrieb",Finanzierung!K167,Erfolgsrechnung!O10)</f>
        <v>0</v>
      </c>
      <c r="M8" s="476"/>
      <c r="N8" s="675" t="str">
        <f>IF(D8="Verschuldungsfaktor","alle Jahre ausfüllen","nur für 'n' und 'n+6' ausfüllen")</f>
        <v>alle Jahre ausfüllen</v>
      </c>
    </row>
    <row r="9" spans="1:44" ht="31.5" customHeight="1" x14ac:dyDescent="0.35">
      <c r="A9" s="698"/>
      <c r="B9" s="674" t="str">
        <f>IF('Übersicht TP '!$B$4="auswählen","",'Übersicht TP '!$B$4)</f>
        <v/>
      </c>
      <c r="C9" s="674" t="str">
        <f>IF('Übersicht TP '!$B$5="","",'Übersicht TP '!$B$5)</f>
        <v/>
      </c>
      <c r="D9" s="470" t="str">
        <f>IF(AND('Übersicht TP '!$B$8="Betriebszweig",OR('Übersicht TP '!$B$4="Vermarktung",'Übersicht TP '!$B$4="Verarbeitung")),'Dropdown input'!M53,IF(AND('Übersicht TP '!$B$8="Betriebszweig",OR('Übersicht TP '!$B$4="Aufbau_Weiterentwicklung_Betriebszweig_auf_LW_Betrieb",'Übersicht TP '!$B$4="Produktion",'Übersicht TP '!$B$4="Weiteres")),'Dropdown input'!J53,IF(AND('Übersicht TP '!$B$8="Betrieb",OR('Übersicht TP '!$B$4="Vermarktung",'Übersicht TP '!$B$4="Verarbeitung")),'Dropdown input'!G53,'Dropdown input'!D53)))</f>
        <v/>
      </c>
      <c r="E9" s="709" t="str">
        <f>IF(AND('Übersicht TP '!$B$8="Betriebszweig",OR('Übersicht TP '!$B$4="Vermarktung",'Übersicht TP '!$B$4="Verarbeitung")),'Dropdown input'!N53,IF(AND('Übersicht TP '!$B$8="Betriebszweig",OR('Übersicht TP '!$B$4="Aufbau_Weiterentwicklung_Betriebszweig_auf_LW_Betrieb",'Übersicht TP '!$B$4="Produktion",'Übersicht TP '!$B$4="Weiteres")),'Dropdown input'!K53,IF(AND('Übersicht TP '!$B$8="Betrieb",OR('Übersicht TP '!$B$4="Vermarktung",'Übersicht TP '!$B$4="Verarbeitung")),'Dropdown input'!H53,'Dropdown input'!E53)))</f>
        <v/>
      </c>
      <c r="F9" s="707" t="str">
        <f>IF('Übersicht TP '!$D$2="","",'Übersicht TP '!$D$2)</f>
        <v/>
      </c>
      <c r="G9" s="474">
        <f>IF('Übersicht TP '!$B$8="Betrieb",Erfolgsrechnung!L10,IF(OR('Übersicht TP '!$B$4="Vermarktung",'Übersicht TP '!$B$4="Verarbeitung"),Erfolgsrechnung!L20,Erfolgsrechnung!L11))</f>
        <v>0</v>
      </c>
      <c r="H9" s="475"/>
      <c r="I9" s="476"/>
      <c r="J9" s="475"/>
      <c r="K9" s="476"/>
      <c r="L9" s="475">
        <f>IF('Übersicht TP '!$B$8="Betrieb",Erfolgsrechnung!M10,IF(OR('Übersicht TP '!$B$4="Vermarktung",'Übersicht TP '!$B$4="Verarbeitung"),Erfolgsrechnung!M20,Erfolgsrechnung!M11))</f>
        <v>0</v>
      </c>
      <c r="M9" s="476"/>
      <c r="N9" s="675" t="str">
        <f>IF(D9=0,"","nur für 'n' und 'n+6' ausfüllen")</f>
        <v>nur für 'n' und 'n+6' ausfüllen</v>
      </c>
    </row>
    <row r="10" spans="1:44" ht="31.5" customHeight="1" x14ac:dyDescent="0.35">
      <c r="A10" s="698"/>
      <c r="B10" s="674" t="str">
        <f>IF('Übersicht TP '!$B$4="auswählen","",'Übersicht TP '!$B$4)</f>
        <v/>
      </c>
      <c r="C10" s="674" t="str">
        <f>IF('Übersicht TP '!$B$5="","",'Übersicht TP '!$B$5)</f>
        <v/>
      </c>
      <c r="D10" s="470" t="str">
        <f>IF(AND('Übersicht TP '!$B$8="Betriebszweig",OR('Übersicht TP '!$B$4="Vermarktung",'Übersicht TP '!$B$4="Verarbeitung")),'Dropdown input'!M54,IF(AND('Übersicht TP '!$B$8="Betriebszweig",OR('Übersicht TP '!$B$4="Aufbau_Weiterentwicklung_Betriebszweig_auf_LW_Betrieb",'Übersicht TP '!$B$4="Produktion",'Übersicht TP '!$B$4="Weiteres")),'Dropdown input'!J54,IF(AND('Übersicht TP '!$B$8="Betrieb",OR('Übersicht TP '!$B$4="Vermarktung",'Übersicht TP '!$B$4="Verarbeitung")),'Dropdown input'!G54,'Dropdown input'!D54)))</f>
        <v/>
      </c>
      <c r="E10" s="709" t="str">
        <f>IF(AND('Übersicht TP '!$B$8="Betriebszweig",OR('Übersicht TP '!$B$4="Vermarktung",'Übersicht TP '!$B$4="Verarbeitung")),'Dropdown input'!N54,IF(AND('Übersicht TP '!$B$8="Betriebszweig",OR('Übersicht TP '!$B$4="Aufbau_Weiterentwicklung_Betriebszweig_auf_LW_Betrieb",'Übersicht TP '!$B$4="Produktion",'Übersicht TP '!$B$4="Weiteres")),'Dropdown input'!K54,IF(AND('Übersicht TP '!$B$8="Betrieb",OR('Übersicht TP '!$B$4="Vermarktung",'Übersicht TP '!$B$4="Verarbeitung")),'Dropdown input'!H54,'Dropdown input'!E54)))</f>
        <v/>
      </c>
      <c r="F10" s="707" t="str">
        <f>IF('Übersicht TP '!$D$2="","",'Übersicht TP '!$D$2)</f>
        <v/>
      </c>
      <c r="G10" s="474">
        <f>IF('Übersicht TP '!$B$8="Betrieb",Erfolgsrechnung!N10,IF(OR('Übersicht TP '!$B$4="Vermarktung",'Übersicht TP '!$B$4="Verarbeitung"),Erfolgsrechnung!L11,Erfolgsrechnung!N11))</f>
        <v>0</v>
      </c>
      <c r="H10" s="475"/>
      <c r="I10" s="476"/>
      <c r="J10" s="475"/>
      <c r="K10" s="476"/>
      <c r="L10" s="475">
        <f>IF('Übersicht TP '!$B$8="Betrieb",Erfolgsrechnung!O10,IF(OR('Übersicht TP '!$B$4="Vermarktung",'Übersicht TP '!$B$4="Verarbeitung"),Erfolgsrechnung!M11,Erfolgsrechnung!O11))</f>
        <v>0</v>
      </c>
      <c r="M10" s="476"/>
      <c r="N10" s="675" t="str">
        <f t="shared" ref="N10:N17" si="0">IF(D10=0,"","nur für 'n' und 'n+6' ausfüllen")</f>
        <v>nur für 'n' und 'n+6' ausfüllen</v>
      </c>
    </row>
    <row r="11" spans="1:44" ht="31.5" customHeight="1" x14ac:dyDescent="0.35">
      <c r="A11" s="698"/>
      <c r="B11" s="674" t="str">
        <f>IF('Übersicht TP '!$B$4="auswählen","",'Übersicht TP '!$B$4)</f>
        <v/>
      </c>
      <c r="C11" s="674" t="str">
        <f>IF('Übersicht TP '!$B$5="","",'Übersicht TP '!$B$5)</f>
        <v/>
      </c>
      <c r="D11" s="470" t="str">
        <f>IF(AND('Übersicht TP '!$B$8="Betriebszweig",OR('Übersicht TP '!$B$4="Vermarktung",'Übersicht TP '!$B$4="Verarbeitung")),'Dropdown input'!M55,IF(AND('Übersicht TP '!$B$8="Betriebszweig",OR('Übersicht TP '!$B$4="Aufbau_Weiterentwicklung_Betriebszweig_auf_LW_Betrieb",'Übersicht TP '!$B$4="Produktion",'Übersicht TP '!$B$4="Weiteres")),'Dropdown input'!J55,IF(AND('Übersicht TP '!$B$8="Betrieb",OR('Übersicht TP '!$B$4="Vermarktung",'Übersicht TP '!$B$4="Verarbeitung")),'Dropdown input'!G55,'Dropdown input'!D55)))</f>
        <v/>
      </c>
      <c r="E11" s="709" t="str">
        <f>IF(AND('Übersicht TP '!$B$8="Betriebszweig",OR('Übersicht TP '!$B$4="Vermarktung",'Übersicht TP '!$B$4="Verarbeitung")),'Dropdown input'!N55,IF(AND('Übersicht TP '!$B$8="Betriebszweig",OR('Übersicht TP '!$B$4="Aufbau_Weiterentwicklung_Betriebszweig_auf_LW_Betrieb",'Übersicht TP '!$B$4="Produktion",'Übersicht TP '!$B$4="Weiteres")),'Dropdown input'!K55,IF(AND('Übersicht TP '!$B$8="Betrieb",OR('Übersicht TP '!$B$4="Vermarktung",'Übersicht TP '!$B$4="Verarbeitung")),'Dropdown input'!H55,'Dropdown input'!E55)))</f>
        <v/>
      </c>
      <c r="F11" s="707" t="str">
        <f>IF('Übersicht TP '!$D$2="","",'Übersicht TP '!$D$2)</f>
        <v/>
      </c>
      <c r="G11" s="474">
        <f>IF(AND('Übersicht TP '!$B$8="Betrieb",'Übersicht TP '!$B$4="Produktion"),Erfolgsrechnung!L11,IF(AND('Übersicht TP '!$B$8="Betrieb",OR('Übersicht TP '!$B$4="Vermarktung",'Übersicht TP '!$B$4="Verarbeitung")),Erfolgsrechnung!L20,IF(AND('Übersicht TP '!$B$8="Betriebszweig",OR('Übersicht TP '!$B$4="Vermarktung",'Übersicht TP '!$B$4="Verarbeitung")),Erfolgsrechnung!N11,Erfolgsrechnung!L12)))</f>
        <v>0</v>
      </c>
      <c r="H11" s="475"/>
      <c r="I11" s="476"/>
      <c r="J11" s="475"/>
      <c r="K11" s="476"/>
      <c r="L11" s="475">
        <f>IF(AND('Übersicht TP '!$B$8="Betrieb",'Übersicht TP '!$B$4="Produktion"),Erfolgsrechnung!M11,IF(AND('Übersicht TP '!$B$8="Betrieb",OR('Übersicht TP '!$B$4="Vermarktung",'Übersicht TP '!$B$4="Verarbeitung")),Erfolgsrechnung!M20,IF(AND('Übersicht TP '!$B$8="Betriebszweig",OR('Übersicht TP '!$B$4="Vermarktung",'Übersicht TP '!$B$4="Verarbeitung")),Erfolgsrechnung!O11,Erfolgsrechnung!M12)))</f>
        <v>0</v>
      </c>
      <c r="M11" s="476"/>
      <c r="N11" s="675" t="str">
        <f t="shared" si="0"/>
        <v>nur für 'n' und 'n+6' ausfüllen</v>
      </c>
    </row>
    <row r="12" spans="1:44" ht="31.5" customHeight="1" x14ac:dyDescent="0.35">
      <c r="A12" s="698"/>
      <c r="B12" s="674" t="str">
        <f>IF('Übersicht TP '!$B$4="auswählen","",'Übersicht TP '!$B$4)</f>
        <v/>
      </c>
      <c r="C12" s="674" t="str">
        <f>IF('Übersicht TP '!$B$5="","",'Übersicht TP '!$B$5)</f>
        <v/>
      </c>
      <c r="D12" s="470" t="str">
        <f>IF(AND('Übersicht TP '!$B$8="Betriebszweig",OR('Übersicht TP '!$B$4="Vermarktung",'Übersicht TP '!$B$4="Verarbeitung")),'Dropdown input'!M56,IF(AND('Übersicht TP '!$B$8="Betriebszweig",OR('Übersicht TP '!$B$4="Aufbau_Weiterentwicklung_Betriebszweig_auf_LW_Betrieb",'Übersicht TP '!$B$4="Produktion",'Übersicht TP '!$B$4="Weiteres")),'Dropdown input'!J56,IF(AND('Übersicht TP '!$B$8="Betrieb",OR('Übersicht TP '!$B$4="Vermarktung",'Übersicht TP '!$B$4="Verarbeitung")),'Dropdown input'!G56,'Dropdown input'!D56)))</f>
        <v/>
      </c>
      <c r="E12" s="709" t="str">
        <f>IF(AND('Übersicht TP '!$B$8="Betriebszweig",OR('Übersicht TP '!$B$4="Vermarktung",'Übersicht TP '!$B$4="Verarbeitung")),'Dropdown input'!N56,IF(AND('Übersicht TP '!$B$8="Betriebszweig",OR('Übersicht TP '!$B$4="Aufbau_Weiterentwicklung_Betriebszweig_auf_LW_Betrieb",'Übersicht TP '!$B$4="Produktion",'Übersicht TP '!$B$4="Weiteres")),'Dropdown input'!K56,IF(AND('Übersicht TP '!$B$8="Betrieb",OR('Übersicht TP '!$B$4="Vermarktung",'Übersicht TP '!$B$4="Verarbeitung")),'Dropdown input'!H56,'Dropdown input'!E56)))</f>
        <v/>
      </c>
      <c r="F12" s="707" t="str">
        <f>IF('Übersicht TP '!$D$2="","",'Übersicht TP '!$D$2)</f>
        <v/>
      </c>
      <c r="G12" s="474">
        <f>IF(AND('Übersicht TP '!$B$8="Betrieb",'Übersicht TP '!$B$4="Produktion"),Erfolgsrechnung!N11,IF(AND('Übersicht TP '!$B$8="Betrieb",OR('Übersicht TP '!$B$4="Vermarktung",'Übersicht TP '!$B$4="Verarbeitung")),Erfolgsrechnung!L11,IF(AND('Übersicht TP '!$B$8="Betriebszweig",OR('Übersicht TP '!$B$4="Vermarktung",'Übersicht TP '!$B$4="Verarbeitung")),Erfolgsrechnung!L21,Erfolgsrechnung!N12)))</f>
        <v>0</v>
      </c>
      <c r="H12" s="475"/>
      <c r="I12" s="476"/>
      <c r="J12" s="475"/>
      <c r="K12" s="476"/>
      <c r="L12" s="475">
        <f>IF(AND('Übersicht TP '!$B$8="Betrieb",'Übersicht TP '!$B$4="Produktion"),Erfolgsrechnung!O11,IF(AND('Übersicht TP '!$B$8="Betrieb",OR('Übersicht TP '!$B$4="Vermarktung",'Übersicht TP '!$B$4="Verarbeitung")),Erfolgsrechnung!M11,IF(AND('Übersicht TP '!$B$8="Betriebszweig",OR('Übersicht TP '!$B$4="Vermarktung",'Übersicht TP '!$B$4="Verarbeitung")),Erfolgsrechnung!M21,Erfolgsrechnung!O12)))</f>
        <v>0</v>
      </c>
      <c r="M12" s="476"/>
      <c r="N12" s="675" t="str">
        <f t="shared" si="0"/>
        <v>nur für 'n' und 'n+6' ausfüllen</v>
      </c>
    </row>
    <row r="13" spans="1:44" ht="31.5" customHeight="1" x14ac:dyDescent="0.35">
      <c r="A13" s="698"/>
      <c r="B13" s="674" t="str">
        <f>IF('Übersicht TP '!$B$4="auswählen","",'Übersicht TP '!$B$4)</f>
        <v/>
      </c>
      <c r="C13" s="674" t="str">
        <f>IF('Übersicht TP '!$B$5="","",'Übersicht TP '!$B$5)</f>
        <v/>
      </c>
      <c r="D13" s="470" t="str">
        <f>IF(AND('Übersicht TP '!$B$8="Betriebszweig",OR('Übersicht TP '!$B$4="Vermarktung",'Übersicht TP '!$B$4="Verarbeitung")),'Dropdown input'!M57,IF(AND('Übersicht TP '!$B$8="Betriebszweig",OR('Übersicht TP '!$B$4="Aufbau_Weiterentwicklung_Betriebszweig_auf_LW_Betrieb",'Übersicht TP '!$B$4="Produktion",'Übersicht TP '!$B$4="Weiteres")),'Dropdown input'!J57,IF(AND('Übersicht TP '!$B$8="Betrieb",OR('Übersicht TP '!$B$4="Vermarktung",'Übersicht TP '!$B$4="Verarbeitung")),'Dropdown input'!G57,'Dropdown input'!D57)))</f>
        <v/>
      </c>
      <c r="E13" s="709" t="str">
        <f>IF(AND('Übersicht TP '!$B$8="Betriebszweig",OR('Übersicht TP '!$B$4="Vermarktung",'Übersicht TP '!$B$4="Verarbeitung")),'Dropdown input'!N57,IF(AND('Übersicht TP '!$B$8="Betriebszweig",OR('Übersicht TP '!$B$4="Aufbau_Weiterentwicklung_Betriebszweig_auf_LW_Betrieb",'Übersicht TP '!$B$4="Produktion",'Übersicht TP '!$B$4="Weiteres")),'Dropdown input'!K57,IF(AND('Übersicht TP '!$B$8="Betrieb",OR('Übersicht TP '!$B$4="Vermarktung",'Übersicht TP '!$B$4="Verarbeitung")),'Dropdown input'!H57,'Dropdown input'!E57)))</f>
        <v/>
      </c>
      <c r="F13" s="707" t="str">
        <f>IF('Übersicht TP '!$D$2="","",'Übersicht TP '!$D$2)</f>
        <v/>
      </c>
      <c r="G13" s="474" t="str">
        <f>IF(AND('Übersicht TP '!$B$8="Betrieb",'Übersicht TP '!$B$4="Produktion"),Erfolgsrechnung!L12,IF(AND('Übersicht TP '!$B$8="Betrieb",OR('Übersicht TP '!$B$4="Vermarktung",'Übersicht TP '!$B$4="Verarbeitung")),Erfolgsrechnung!N11,IF(AND('Übersicht TP '!$B$8="Betriebszweig",OR('Übersicht TP '!$B$4="Vermarktung",'Übersicht TP '!$B$4="Verarbeitung")),Erfolgsrechnung!L12,"")))</f>
        <v/>
      </c>
      <c r="H13" s="475"/>
      <c r="I13" s="476"/>
      <c r="J13" s="475"/>
      <c r="K13" s="476"/>
      <c r="L13" s="475" t="str">
        <f>IF(AND('Übersicht TP '!$B$8="Betrieb",'Übersicht TP '!$B$4="Produktion"),Erfolgsrechnung!M12,IF(AND('Übersicht TP '!$B$8="Betrieb",OR('Übersicht TP '!$B$4="Vermarktung",'Übersicht TP '!$B$4="Verarbeitung")),Erfolgsrechnung!O11,IF(AND('Übersicht TP '!$B$8="Betriebszweig",OR('Übersicht TP '!$B$4="Vermarktung",'Übersicht TP '!$B$4="Verarbeitung")),Erfolgsrechnung!M12,"")))</f>
        <v/>
      </c>
      <c r="M13" s="476"/>
      <c r="N13" s="675" t="str">
        <f t="shared" si="0"/>
        <v>nur für 'n' und 'n+6' ausfüllen</v>
      </c>
    </row>
    <row r="14" spans="1:44" ht="31.5" customHeight="1" x14ac:dyDescent="0.35">
      <c r="A14" s="698"/>
      <c r="B14" s="674" t="str">
        <f>IF('Übersicht TP '!$B$4="auswählen","",'Übersicht TP '!$B$4)</f>
        <v/>
      </c>
      <c r="C14" s="674" t="str">
        <f>IF('Übersicht TP '!$B$5="","",'Übersicht TP '!$B$5)</f>
        <v/>
      </c>
      <c r="D14" s="470" t="str">
        <f>IF(AND('Übersicht TP '!$B$8="Betriebszweig",OR('Übersicht TP '!$B$4="Vermarktung",'Übersicht TP '!$B$4="Verarbeitung")),'Dropdown input'!M58,IF(AND('Übersicht TP '!$B$8="Betriebszweig",OR('Übersicht TP '!$B$4="Aufbau_Weiterentwicklung_Betriebszweig_auf_LW_Betrieb",'Übersicht TP '!$B$4="Produktion",'Übersicht TP '!$B$4="Weiteres")),'Dropdown input'!J58,IF(AND('Übersicht TP '!$B$8="Betrieb",OR('Übersicht TP '!$B$4="Vermarktung",'Übersicht TP '!$B$4="Verarbeitung")),'Dropdown input'!G58,'Dropdown input'!D58)))</f>
        <v/>
      </c>
      <c r="E14" s="709" t="str">
        <f>IF(AND('Übersicht TP '!$B$8="Betriebszweig",OR('Übersicht TP '!$B$4="Vermarktung",'Übersicht TP '!$B$4="Verarbeitung")),'Dropdown input'!N58,IF(AND('Übersicht TP '!$B$8="Betriebszweig",OR('Übersicht TP '!$B$4="Aufbau_Weiterentwicklung_Betriebszweig_auf_LW_Betrieb",'Übersicht TP '!$B$4="Produktion",'Übersicht TP '!$B$4="Weiteres")),'Dropdown input'!K58,IF(AND('Übersicht TP '!$B$8="Betrieb",OR('Übersicht TP '!$B$4="Vermarktung",'Übersicht TP '!$B$4="Verarbeitung")),'Dropdown input'!H58,'Dropdown input'!E58)))</f>
        <v/>
      </c>
      <c r="F14" s="707" t="str">
        <f>IF('Übersicht TP '!$D$2="","",'Übersicht TP '!$D$2)</f>
        <v/>
      </c>
      <c r="G14" s="474" t="str">
        <f>IF(AND('Übersicht TP '!$B$8="Betrieb",'Übersicht TP '!$B$4="Produktion"),Erfolgsrechnung!N12,IF(AND('Übersicht TP '!$B$8="Betrieb",OR('Übersicht TP '!$B$4="Vermarktung",'Übersicht TP '!$B$4="Verarbeitung")),Erfolgsrechnung!L21,IF(AND('Übersicht TP '!$B$8="Betriebszweig",OR('Übersicht TP '!$B$4="Vermarktung",'Übersicht TP '!$B$4="Verarbeitung")),Erfolgsrechnung!N12,"")))</f>
        <v/>
      </c>
      <c r="H14" s="475"/>
      <c r="I14" s="476"/>
      <c r="J14" s="475"/>
      <c r="K14" s="476"/>
      <c r="L14" s="475" t="str">
        <f>IF(AND('Übersicht TP '!$B$8="Betrieb",'Übersicht TP '!$B$4="Produktion"),Erfolgsrechnung!O12,IF(AND('Übersicht TP '!$B$8="Betrieb",OR('Übersicht TP '!$B$4="Vermarktung",'Übersicht TP '!$B$4="Verarbeitung")),Erfolgsrechnung!M21,IF(AND('Übersicht TP '!$B$8="Betriebszweig",OR('Übersicht TP '!$B$4="Vermarktung",'Übersicht TP '!$B$4="Verarbeitung")),Erfolgsrechnung!O12,"")))</f>
        <v/>
      </c>
      <c r="M14" s="476"/>
      <c r="N14" s="675" t="str">
        <f t="shared" si="0"/>
        <v>nur für 'n' und 'n+6' ausfüllen</v>
      </c>
    </row>
    <row r="15" spans="1:44" ht="31.5" customHeight="1" x14ac:dyDescent="0.35">
      <c r="A15" s="698"/>
      <c r="B15" s="674" t="str">
        <f>IF('Übersicht TP '!$B$4="auswählen","",'Übersicht TP '!$B$4)</f>
        <v/>
      </c>
      <c r="C15" s="674" t="str">
        <f>IF('Übersicht TP '!$B$5="","",'Übersicht TP '!$B$5)</f>
        <v/>
      </c>
      <c r="D15" s="470">
        <f>IF(AND('Übersicht TP '!$B$8="Betriebszweig",OR('Übersicht TP '!$B$4="Vermarktung",'Übersicht TP '!$B$4="Verarbeitung")),'Dropdown input'!M59,IF(AND('Übersicht TP '!$B$8="Betriebszweig",OR('Übersicht TP '!$B$4="Aufbau_Weiterentwicklung_Betriebszweig_auf_LW_Betrieb",'Übersicht TP '!$B$4="Produktion",'Übersicht TP '!$B$4="Weiteres")),'Dropdown input'!J59,IF(AND('Übersicht TP '!$B$8="Betrieb",OR('Übersicht TP '!$B$4="Vermarktung",'Übersicht TP '!$B$4="Verarbeitung")),'Dropdown input'!G59,'Dropdown input'!D59)))</f>
        <v>0</v>
      </c>
      <c r="E15" s="709">
        <f>IF(AND('Übersicht TP '!$B$8="Betriebszweig",OR('Übersicht TP '!$B$4="Vermarktung",'Übersicht TP '!$B$4="Verarbeitung")),'Dropdown input'!N59,IF(AND('Übersicht TP '!$B$8="Betriebszweig",OR('Übersicht TP '!$B$4="Aufbau_Weiterentwicklung_Betriebszweig_auf_LW_Betrieb",'Übersicht TP '!$B$4="Produktion",'Übersicht TP '!$B$4="Weiteres")),'Dropdown input'!K59,IF(AND('Übersicht TP '!$B$8="Betrieb",OR('Übersicht TP '!$B$4="Vermarktung",'Übersicht TP '!$B$4="Verarbeitung")),'Dropdown input'!H59,'Dropdown input'!E59)))</f>
        <v>0</v>
      </c>
      <c r="F15" s="707" t="str">
        <f>IF('Übersicht TP '!$D$2="","",'Übersicht TP '!$D$2)</f>
        <v/>
      </c>
      <c r="G15" s="474" t="str">
        <f>IF(AND('Übersicht TP '!$B$8="Betrieb",'Übersicht TP '!$B$4="Produktion"),"",IF(AND('Übersicht TP '!$B$8="Betrieb",OR('Übersicht TP '!$B$4="Vermarktung",'Übersicht TP '!$B$4="Verarbeitung")),Erfolgsrechnung!L12,IF(AND('Übersicht TP '!$B$8="Betriebszweig",OR('Übersicht TP '!$B$4="Vermarktung",'Übersicht TP '!$B$4="Verarbeitung")),Erfolgsrechnung!L22,"")))</f>
        <v/>
      </c>
      <c r="H15" s="475"/>
      <c r="I15" s="476"/>
      <c r="J15" s="475"/>
      <c r="K15" s="476"/>
      <c r="L15" s="475" t="str">
        <f>IF(AND('Übersicht TP '!$B$8="Betrieb",'Übersicht TP '!$B$4="Produktion"),"",IF(AND('Übersicht TP '!$B$8="Betrieb",OR('Übersicht TP '!$B$4="Vermarktung",'Übersicht TP '!$B$4="Verarbeitung")),Erfolgsrechnung!M12,IF(AND('Übersicht TP '!$B$8="Betriebszweig",OR('Übersicht TP '!$B$4="Vermarktung",'Übersicht TP '!$B$4="Verarbeitung")),Erfolgsrechnung!M22,"")))</f>
        <v/>
      </c>
      <c r="M15" s="476"/>
      <c r="N15" s="675" t="str">
        <f t="shared" si="0"/>
        <v/>
      </c>
    </row>
    <row r="16" spans="1:44" ht="31.5" customHeight="1" x14ac:dyDescent="0.35">
      <c r="A16" s="698"/>
      <c r="B16" s="674" t="str">
        <f>IF('Übersicht TP '!$B$4="auswählen","",'Übersicht TP '!$B$4)</f>
        <v/>
      </c>
      <c r="C16" s="674" t="str">
        <f>IF('Übersicht TP '!$B$5="","",'Übersicht TP '!$B$5)</f>
        <v/>
      </c>
      <c r="D16" s="470">
        <f>IF(AND('Übersicht TP '!$B$8="Betriebszweig",OR('Übersicht TP '!$B$4="Vermarktung",'Übersicht TP '!$B$4="Verarbeitung")),'Dropdown input'!M60,IF(AND('Übersicht TP '!$B$8="Betriebszweig",OR('Übersicht TP '!$B$4="Aufbau_Weiterentwicklung_Betriebszweig_auf_LW_Betrieb",'Übersicht TP '!$B$4="Produktion",'Übersicht TP '!$B$4="Weiteres")),'Dropdown input'!J60,IF(AND('Übersicht TP '!$B$8="Betrieb",OR('Übersicht TP '!$B$4="Vermarktung",'Übersicht TP '!$B$4="Verarbeitung")),'Dropdown input'!G60,'Dropdown input'!D60)))</f>
        <v>0</v>
      </c>
      <c r="E16" s="709">
        <f>IF(AND('Übersicht TP '!$B$8="Betriebszweig",OR('Übersicht TP '!$B$4="Vermarktung",'Übersicht TP '!$B$4="Verarbeitung")),'Dropdown input'!N60,IF(AND('Übersicht TP '!$B$8="Betriebszweig",OR('Übersicht TP '!$B$4="Aufbau_Weiterentwicklung_Betriebszweig_auf_LW_Betrieb",'Übersicht TP '!$B$4="Produktion",'Übersicht TP '!$B$4="Weiteres")),'Dropdown input'!K60,IF(AND('Übersicht TP '!$B$8="Betrieb",OR('Übersicht TP '!$B$4="Vermarktung",'Übersicht TP '!$B$4="Verarbeitung")),'Dropdown input'!H60,'Dropdown input'!E60)))</f>
        <v>0</v>
      </c>
      <c r="F16" s="707" t="str">
        <f>IF('Übersicht TP '!$D$2="","",'Übersicht TP '!$D$2)</f>
        <v/>
      </c>
      <c r="G16" s="474" t="str">
        <f>IF(AND('Übersicht TP '!$B$8="Betrieb",'Übersicht TP '!$B$4="Produktion"),"",IF(AND('Übersicht TP '!$B$8="Betrieb",OR('Übersicht TP '!$B$4="Vermarktung",'Übersicht TP '!$B$4="Verarbeitung")),Erfolgsrechnung!N12,IF(AND('Übersicht TP '!$B$8="Betriebszweig",OR('Übersicht TP '!$B$4="Vermarktung",'Übersicht TP '!$B$4="Verarbeitung")),"","")))</f>
        <v/>
      </c>
      <c r="H16" s="475"/>
      <c r="I16" s="476"/>
      <c r="J16" s="475"/>
      <c r="K16" s="476"/>
      <c r="L16" s="475" t="str">
        <f>IF(AND('Übersicht TP '!$B$8="Betrieb",'Übersicht TP '!$B$4="Produktion"),"",IF(AND('Übersicht TP '!$B$8="Betrieb",OR('Übersicht TP '!$B$4="Vermarktung",'Übersicht TP '!$B$4="Verarbeitung")),Erfolgsrechnung!O12,IF(AND('Übersicht TP '!$B$8="Betriebszweig",OR('Übersicht TP '!$B$4="Vermarktung",'Übersicht TP '!$B$4="Verarbeitung")),"","")))</f>
        <v/>
      </c>
      <c r="M16" s="476"/>
      <c r="N16" s="675" t="str">
        <f t="shared" si="0"/>
        <v/>
      </c>
    </row>
    <row r="17" spans="1:14" ht="31.5" customHeight="1" x14ac:dyDescent="0.35">
      <c r="A17" s="698"/>
      <c r="B17" s="674" t="str">
        <f>IF('Übersicht TP '!$B$4="auswählen","",'Übersicht TP '!$B$4)</f>
        <v/>
      </c>
      <c r="C17" s="674" t="str">
        <f>IF('Übersicht TP '!$B$5="","",'Übersicht TP '!$B$5)</f>
        <v/>
      </c>
      <c r="D17" s="473">
        <f>IF(AND('Übersicht TP '!$B$8="Betriebszweig",OR('Übersicht TP '!$B$4="Vermarktung",'Übersicht TP '!$B$4="Verarbeitung")),'Dropdown input'!M61,IF(AND('Übersicht TP '!$B$8="Betriebszweig",OR('Übersicht TP '!$B$4="Aufbau_Weiterentwicklung_Betriebszweig_auf_LW_Betrieb",'Übersicht TP '!$B$4="Produktion",'Übersicht TP '!$B$4="Weiteres")),'Dropdown input'!J61,IF(AND('Übersicht TP '!$B$8="Betrieb",OR('Übersicht TP '!$B$4="Vermarktung",'Übersicht TP '!$B$4="Verarbeitung")),'Dropdown input'!G61,'Dropdown input'!D61)))</f>
        <v>0</v>
      </c>
      <c r="E17" s="639">
        <f>IF(AND('Übersicht TP '!$B$8="Betriebszweig",OR('Übersicht TP '!$B$4="Vermarktung",'Übersicht TP '!$B$4="Verarbeitung")),'Dropdown input'!N61,IF(AND('Übersicht TP '!$B$8="Betriebszweig",OR('Übersicht TP '!$B$4="Aufbau_Weiterentwicklung_Betriebszweig_auf_LW_Betrieb",'Übersicht TP '!$B$4="Produktion",'Übersicht TP '!$B$4="Weiteres")),'Dropdown input'!K61,IF(AND('Übersicht TP '!$B$8="Betrieb",OR('Übersicht TP '!$B$4="Vermarktung",'Übersicht TP '!$B$4="Verarbeitung")),'Dropdown input'!H61,'Dropdown input'!E61)))</f>
        <v>0</v>
      </c>
      <c r="F17" s="707" t="str">
        <f>IF('Übersicht TP '!$D$2="","",'Übersicht TP '!$D$2)</f>
        <v/>
      </c>
      <c r="G17" s="474" t="str">
        <f>IF(AND('Übersicht TP '!$B$8="Betrieb",'Übersicht TP '!$B$4="Produktion"),"",IF(AND('Übersicht TP '!$B$8="Betrieb",OR('Übersicht TP '!$B$4="Vermarktung",'Übersicht TP '!$B$4="Verarbeitung")),Erfolgsrechnung!L22,IF(AND('Übersicht TP '!$B$8="Betriebszweig",OR('Übersicht TP '!$B$4="Vermarktung",'Übersicht TP '!$B$4="Verarbeitung")),"","")))</f>
        <v/>
      </c>
      <c r="H17" s="475"/>
      <c r="I17" s="476"/>
      <c r="J17" s="475"/>
      <c r="K17" s="476"/>
      <c r="L17" s="475" t="str">
        <f>IF(AND('Übersicht TP '!$B$8="Betrieb",'Übersicht TP '!$B$4="Produktion"),"",IF(AND('Übersicht TP '!$B$8="Betrieb",OR('Übersicht TP '!$B$4="Vermarktung",'Übersicht TP '!$B$4="Verarbeitung")),Erfolgsrechnung!M22,IF(AND('Übersicht TP '!$B$8="Betriebszweig",OR('Übersicht TP '!$B$4="Vermarktung",'Übersicht TP '!$B$4="Verarbeitung")),"","")))</f>
        <v/>
      </c>
      <c r="M17" s="476"/>
      <c r="N17" s="675" t="str">
        <f t="shared" si="0"/>
        <v/>
      </c>
    </row>
  </sheetData>
  <sheetProtection sheet="1" objects="1" scenarios="1"/>
  <mergeCells count="1">
    <mergeCell ref="A3:Q3"/>
  </mergeCells>
  <pageMargins left="0.7" right="0.7" top="0.78740157499999996" bottom="0.78740157499999996" header="0.3" footer="0.3"/>
  <pageSetup scale="54" orientation="landscape"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E143"/>
  <sheetViews>
    <sheetView showGridLines="0" view="pageBreakPreview" zoomScale="80" zoomScaleNormal="100" zoomScaleSheetLayoutView="80" workbookViewId="0">
      <selection activeCell="C11" sqref="C11:N127"/>
    </sheetView>
  </sheetViews>
  <sheetFormatPr baseColWidth="10" defaultColWidth="11" defaultRowHeight="14" outlineLevelRow="1" x14ac:dyDescent="0.3"/>
  <cols>
    <col min="1" max="1" width="52.58203125" style="2" customWidth="1"/>
    <col min="2" max="2" width="19.08203125" style="2" bestFit="1" customWidth="1"/>
    <col min="3" max="3" width="14.25" style="2" customWidth="1"/>
    <col min="4" max="4" width="11" style="2"/>
    <col min="5" max="10" width="11" style="2" customWidth="1"/>
    <col min="11" max="11" width="30.08203125" style="2" customWidth="1"/>
    <col min="12" max="12" width="22.5" style="2" customWidth="1"/>
    <col min="13" max="14" width="16.75" style="2" customWidth="1"/>
    <col min="15" max="15" width="8.33203125" style="2" customWidth="1"/>
    <col min="16" max="16" width="41.33203125" style="2" customWidth="1"/>
    <col min="17" max="16384" width="11" style="2"/>
  </cols>
  <sheetData>
    <row r="1" spans="1:31" s="5" customFormat="1" ht="25" customHeight="1" x14ac:dyDescent="0.3">
      <c r="A1" s="73" t="s">
        <v>136</v>
      </c>
      <c r="B1" s="74"/>
      <c r="C1" s="74"/>
      <c r="D1" s="74"/>
      <c r="E1" s="74"/>
      <c r="F1" s="74"/>
      <c r="G1" s="74"/>
      <c r="H1" s="74"/>
      <c r="I1" s="74"/>
      <c r="J1" s="74"/>
      <c r="K1" s="74"/>
      <c r="L1" s="74"/>
      <c r="M1" s="74"/>
      <c r="N1" s="74"/>
      <c r="O1" s="74"/>
      <c r="P1" s="74"/>
      <c r="Q1" s="225"/>
      <c r="R1" s="225"/>
      <c r="S1" s="225"/>
      <c r="T1" s="3"/>
      <c r="U1" s="3"/>
      <c r="V1" s="3"/>
      <c r="W1" s="3"/>
      <c r="X1" s="3"/>
      <c r="Y1" s="3"/>
      <c r="Z1" s="3"/>
      <c r="AA1" s="3"/>
      <c r="AB1" s="3"/>
      <c r="AC1" s="3"/>
      <c r="AD1" s="3"/>
      <c r="AE1" s="3"/>
    </row>
    <row r="2" spans="1:31" s="67" customFormat="1" ht="22.5" customHeight="1" x14ac:dyDescent="0.3">
      <c r="A2" s="79" t="s">
        <v>75</v>
      </c>
      <c r="B2" s="80"/>
      <c r="C2" s="76"/>
      <c r="D2" s="77"/>
      <c r="E2" s="79" t="s">
        <v>10</v>
      </c>
      <c r="F2" s="80"/>
      <c r="G2" s="77"/>
      <c r="H2" s="77"/>
      <c r="I2" s="77"/>
      <c r="J2" s="77"/>
      <c r="K2" s="77"/>
      <c r="L2" s="77"/>
      <c r="M2" s="77"/>
      <c r="N2" s="77"/>
      <c r="O2" s="77"/>
      <c r="P2" s="78"/>
      <c r="Q2" s="78"/>
      <c r="R2" s="78"/>
      <c r="S2" s="78"/>
    </row>
    <row r="3" spans="1:31" s="67" customFormat="1" ht="21" customHeight="1" x14ac:dyDescent="0.3">
      <c r="A3" s="226" t="s">
        <v>111</v>
      </c>
      <c r="B3" s="227" t="s">
        <v>112</v>
      </c>
      <c r="C3" s="228"/>
      <c r="D3" s="229"/>
      <c r="E3" s="229"/>
      <c r="F3" s="229"/>
      <c r="G3" s="229"/>
      <c r="H3" s="229"/>
      <c r="I3" s="229"/>
      <c r="J3" s="229"/>
      <c r="K3" s="229"/>
      <c r="L3" s="229"/>
      <c r="M3" s="229"/>
      <c r="N3" s="229"/>
      <c r="O3" s="229"/>
      <c r="P3" s="229"/>
      <c r="Q3" s="78"/>
      <c r="R3" s="78"/>
      <c r="S3" s="78"/>
    </row>
    <row r="4" spans="1:31" ht="7" customHeight="1" thickBot="1" x14ac:dyDescent="0.4">
      <c r="A4" s="223"/>
      <c r="B4" s="14"/>
      <c r="C4" s="14"/>
      <c r="D4" s="14"/>
      <c r="E4" s="14"/>
      <c r="F4" s="14"/>
      <c r="G4" s="14"/>
      <c r="H4" s="14"/>
      <c r="I4" s="14"/>
      <c r="J4" s="14"/>
      <c r="K4" s="14"/>
      <c r="L4" s="14"/>
      <c r="M4" s="14"/>
      <c r="N4" s="14"/>
      <c r="O4" s="14"/>
      <c r="P4" s="14"/>
      <c r="Q4" s="14"/>
      <c r="R4" s="14"/>
      <c r="S4" s="14"/>
    </row>
    <row r="5" spans="1:31" ht="77.150000000000006" customHeight="1" thickTop="1" x14ac:dyDescent="0.35">
      <c r="A5" s="773" t="s">
        <v>289</v>
      </c>
      <c r="B5" s="774"/>
      <c r="C5" s="774"/>
      <c r="D5" s="774"/>
      <c r="E5" s="774"/>
      <c r="F5" s="774"/>
      <c r="G5" s="774"/>
      <c r="H5" s="774"/>
      <c r="I5" s="774"/>
      <c r="J5" s="774"/>
      <c r="K5" s="774"/>
      <c r="L5" s="774"/>
      <c r="M5" s="774"/>
      <c r="N5" s="774"/>
      <c r="O5" s="774"/>
      <c r="P5" s="775"/>
      <c r="Q5" s="14"/>
      <c r="R5" s="14"/>
      <c r="S5" s="14"/>
    </row>
    <row r="6" spans="1:31" ht="6" customHeight="1" x14ac:dyDescent="0.35">
      <c r="A6" s="230"/>
      <c r="B6" s="85"/>
      <c r="C6" s="85"/>
      <c r="D6" s="85"/>
      <c r="E6" s="85"/>
      <c r="F6" s="85"/>
      <c r="G6" s="85"/>
      <c r="H6" s="85"/>
      <c r="I6" s="85"/>
      <c r="J6" s="85"/>
      <c r="K6" s="85"/>
      <c r="L6" s="85"/>
      <c r="M6" s="85"/>
      <c r="N6" s="85"/>
      <c r="O6" s="85"/>
      <c r="P6" s="231"/>
      <c r="Q6" s="14"/>
      <c r="R6" s="14"/>
      <c r="S6" s="14"/>
    </row>
    <row r="7" spans="1:31" ht="19" customHeight="1" thickBot="1" x14ac:dyDescent="0.4">
      <c r="A7" s="68" t="s">
        <v>163</v>
      </c>
      <c r="B7" s="232"/>
      <c r="C7" s="232"/>
      <c r="D7" s="232"/>
      <c r="E7" s="232"/>
      <c r="F7" s="232"/>
      <c r="G7" s="232"/>
      <c r="H7" s="232"/>
      <c r="I7" s="232"/>
      <c r="J7" s="232"/>
      <c r="K7" s="232"/>
      <c r="L7" s="232"/>
      <c r="M7" s="232"/>
      <c r="N7" s="233"/>
      <c r="O7" s="233"/>
      <c r="P7" s="234"/>
      <c r="Q7" s="14"/>
      <c r="R7" s="14"/>
      <c r="S7" s="14"/>
    </row>
    <row r="8" spans="1:31" ht="16" thickTop="1" x14ac:dyDescent="0.35">
      <c r="A8" s="223"/>
      <c r="B8" s="14"/>
      <c r="C8" s="14"/>
      <c r="D8" s="14"/>
      <c r="E8" s="14"/>
      <c r="F8" s="14"/>
      <c r="G8" s="14"/>
      <c r="H8" s="14"/>
      <c r="I8" s="14"/>
      <c r="J8" s="14"/>
      <c r="K8" s="14"/>
      <c r="L8" s="14"/>
      <c r="M8" s="14"/>
      <c r="N8" s="9"/>
      <c r="O8" s="14"/>
      <c r="P8" s="14"/>
      <c r="Q8" s="14"/>
      <c r="R8" s="14"/>
      <c r="S8" s="14"/>
    </row>
    <row r="9" spans="1:31" s="70" customFormat="1" ht="26.15" customHeight="1" x14ac:dyDescent="0.3">
      <c r="A9" s="69" t="s">
        <v>165</v>
      </c>
      <c r="B9" s="235"/>
      <c r="C9" s="235"/>
      <c r="D9" s="235"/>
      <c r="E9" s="235"/>
      <c r="F9" s="235"/>
      <c r="G9" s="235"/>
      <c r="H9" s="235"/>
      <c r="I9" s="235"/>
      <c r="J9" s="235"/>
      <c r="K9" s="235"/>
      <c r="L9" s="69"/>
      <c r="M9" s="236"/>
      <c r="N9" s="237"/>
      <c r="O9" s="238"/>
      <c r="P9" s="238"/>
      <c r="Q9" s="239"/>
      <c r="R9" s="239"/>
      <c r="S9" s="239"/>
    </row>
    <row r="10" spans="1:31" ht="15.5" outlineLevel="1" x14ac:dyDescent="0.35">
      <c r="A10" s="240" t="s">
        <v>140</v>
      </c>
      <c r="B10" s="241"/>
      <c r="C10" s="241"/>
      <c r="D10" s="241"/>
      <c r="E10" s="241"/>
      <c r="F10" s="241"/>
      <c r="G10" s="241"/>
      <c r="H10" s="241"/>
      <c r="I10" s="241"/>
      <c r="J10" s="241"/>
      <c r="K10" s="241"/>
      <c r="L10" s="242"/>
      <c r="M10" s="242"/>
      <c r="N10" s="240"/>
      <c r="O10" s="241"/>
      <c r="P10" s="241"/>
      <c r="Q10" s="14"/>
      <c r="R10" s="14"/>
      <c r="S10" s="14"/>
    </row>
    <row r="11" spans="1:31" s="71" customFormat="1" ht="46.5" outlineLevel="1" x14ac:dyDescent="0.3">
      <c r="A11" s="243"/>
      <c r="B11" s="244" t="s">
        <v>45</v>
      </c>
      <c r="C11" s="245" t="str">
        <f>Erfolgsrechnung!C8</f>
        <v>n = Vorjahr</v>
      </c>
      <c r="D11" s="245" t="str">
        <f>Erfolgsrechnung!D8</f>
        <v>n+1 
(1. PRE-Jahr)</v>
      </c>
      <c r="E11" s="245" t="str">
        <f>Erfolgsrechnung!E8</f>
        <v>n+2</v>
      </c>
      <c r="F11" s="245" t="str">
        <f>Erfolgsrechnung!F8</f>
        <v>n+3</v>
      </c>
      <c r="G11" s="245" t="str">
        <f>Erfolgsrechnung!G8</f>
        <v>n+4</v>
      </c>
      <c r="H11" s="245" t="str">
        <f>Erfolgsrechnung!H8</f>
        <v>n+5</v>
      </c>
      <c r="I11" s="245" t="str">
        <f>Erfolgsrechnung!I8</f>
        <v>n+6</v>
      </c>
      <c r="J11" s="245" t="str">
        <f>Erfolgsrechnung!J8</f>
        <v>1. Jahr nach Umsetzung</v>
      </c>
      <c r="K11" s="246" t="s">
        <v>19</v>
      </c>
      <c r="L11" s="247" t="s">
        <v>123</v>
      </c>
      <c r="M11" s="248"/>
      <c r="N11" s="248"/>
      <c r="O11" s="225"/>
      <c r="P11" s="225"/>
      <c r="Q11" s="225"/>
      <c r="R11" s="225"/>
      <c r="S11" s="225"/>
    </row>
    <row r="12" spans="1:31" ht="15.5" outlineLevel="1" x14ac:dyDescent="0.35">
      <c r="A12" s="249" t="s">
        <v>66</v>
      </c>
      <c r="B12" s="250"/>
      <c r="C12" s="251"/>
      <c r="D12" s="252"/>
      <c r="E12" s="252"/>
      <c r="F12" s="252"/>
      <c r="G12" s="252"/>
      <c r="H12" s="252"/>
      <c r="I12" s="253"/>
      <c r="J12" s="250"/>
      <c r="K12" s="254"/>
      <c r="L12" s="255"/>
      <c r="M12" s="14"/>
      <c r="N12" s="14"/>
      <c r="O12" s="14"/>
      <c r="P12" s="14"/>
      <c r="Q12" s="14"/>
      <c r="R12" s="14"/>
      <c r="S12" s="14"/>
    </row>
    <row r="13" spans="1:31" ht="15.5" outlineLevel="1" x14ac:dyDescent="0.35">
      <c r="A13" s="256" t="s">
        <v>52</v>
      </c>
      <c r="B13" s="257" t="s">
        <v>65</v>
      </c>
      <c r="C13" s="258">
        <v>6000</v>
      </c>
      <c r="D13" s="259">
        <f>C13+D14*C13</f>
        <v>8400</v>
      </c>
      <c r="E13" s="259">
        <f t="shared" ref="E13:H13" si="0">D13+E14*D13</f>
        <v>9240</v>
      </c>
      <c r="F13" s="259">
        <f t="shared" si="0"/>
        <v>10626</v>
      </c>
      <c r="G13" s="259">
        <f t="shared" si="0"/>
        <v>11688.6</v>
      </c>
      <c r="H13" s="259">
        <f t="shared" si="0"/>
        <v>13441.89</v>
      </c>
      <c r="I13" s="260">
        <f>H13+I14*H13</f>
        <v>15458.173499999999</v>
      </c>
      <c r="J13" s="260">
        <f>I13+J14*I13</f>
        <v>17776.899525000001</v>
      </c>
      <c r="K13" s="261">
        <f>SUM(C13:I13)</f>
        <v>74854.663499999995</v>
      </c>
      <c r="L13" s="255"/>
      <c r="M13" s="14"/>
      <c r="N13" s="14"/>
      <c r="O13" s="14"/>
      <c r="P13" s="14"/>
      <c r="Q13" s="14"/>
      <c r="R13" s="14"/>
      <c r="S13" s="14"/>
    </row>
    <row r="14" spans="1:31" ht="15.5" outlineLevel="1" x14ac:dyDescent="0.35">
      <c r="A14" s="262" t="s">
        <v>88</v>
      </c>
      <c r="B14" s="263" t="s">
        <v>49</v>
      </c>
      <c r="C14" s="264"/>
      <c r="D14" s="265">
        <v>0.4</v>
      </c>
      <c r="E14" s="265">
        <v>0.1</v>
      </c>
      <c r="F14" s="265">
        <v>0.15</v>
      </c>
      <c r="G14" s="265">
        <v>0.1</v>
      </c>
      <c r="H14" s="265">
        <v>0.15</v>
      </c>
      <c r="I14" s="265">
        <v>0.15</v>
      </c>
      <c r="J14" s="265">
        <v>0.15</v>
      </c>
      <c r="K14" s="266">
        <f>AVERAGE(D14:I14)</f>
        <v>0.17500000000000002</v>
      </c>
      <c r="L14" s="267" t="s">
        <v>90</v>
      </c>
      <c r="M14" s="268"/>
      <c r="N14" s="268"/>
      <c r="O14" s="14"/>
      <c r="P14" s="14"/>
      <c r="Q14" s="14"/>
      <c r="R14" s="14"/>
      <c r="S14" s="14"/>
    </row>
    <row r="15" spans="1:31" ht="15.5" outlineLevel="1" x14ac:dyDescent="0.35">
      <c r="A15" s="262" t="s">
        <v>67</v>
      </c>
      <c r="B15" s="263" t="s">
        <v>72</v>
      </c>
      <c r="C15" s="269">
        <v>10</v>
      </c>
      <c r="D15" s="270">
        <v>10</v>
      </c>
      <c r="E15" s="270">
        <v>10</v>
      </c>
      <c r="F15" s="270">
        <v>10</v>
      </c>
      <c r="G15" s="270">
        <v>10</v>
      </c>
      <c r="H15" s="270">
        <v>10</v>
      </c>
      <c r="I15" s="270">
        <v>10</v>
      </c>
      <c r="J15" s="270">
        <v>10</v>
      </c>
      <c r="K15" s="271">
        <f>AVERAGE(C15:I15)</f>
        <v>10</v>
      </c>
      <c r="L15" s="267"/>
      <c r="M15" s="268"/>
      <c r="N15" s="268"/>
      <c r="O15" s="14"/>
      <c r="P15" s="14"/>
      <c r="Q15" s="14"/>
      <c r="R15" s="14"/>
      <c r="S15" s="14"/>
    </row>
    <row r="16" spans="1:31" ht="15.5" outlineLevel="1" x14ac:dyDescent="0.35">
      <c r="A16" s="256" t="s">
        <v>50</v>
      </c>
      <c r="B16" s="257" t="s">
        <v>69</v>
      </c>
      <c r="C16" s="258">
        <f>C13/C15</f>
        <v>600</v>
      </c>
      <c r="D16" s="272">
        <f t="shared" ref="D16:J16" si="1">D13/D15</f>
        <v>840</v>
      </c>
      <c r="E16" s="272">
        <f t="shared" si="1"/>
        <v>924</v>
      </c>
      <c r="F16" s="272">
        <f t="shared" si="1"/>
        <v>1062.5999999999999</v>
      </c>
      <c r="G16" s="272">
        <f t="shared" si="1"/>
        <v>1168.8600000000001</v>
      </c>
      <c r="H16" s="272">
        <f t="shared" si="1"/>
        <v>1344.1889999999999</v>
      </c>
      <c r="I16" s="272">
        <f t="shared" si="1"/>
        <v>1545.8173499999998</v>
      </c>
      <c r="J16" s="272">
        <f t="shared" si="1"/>
        <v>1777.6899525000001</v>
      </c>
      <c r="K16" s="273">
        <f>SUM(C16:I16)</f>
        <v>7485.4663499999988</v>
      </c>
      <c r="L16" s="274"/>
      <c r="M16" s="275"/>
      <c r="N16" s="275"/>
      <c r="O16" s="14"/>
      <c r="P16" s="14"/>
      <c r="Q16" s="14"/>
      <c r="R16" s="14"/>
      <c r="S16" s="14"/>
    </row>
    <row r="17" spans="1:19" ht="3.65" customHeight="1" outlineLevel="1" x14ac:dyDescent="0.35">
      <c r="A17" s="256"/>
      <c r="B17" s="257"/>
      <c r="C17" s="276"/>
      <c r="D17" s="277"/>
      <c r="E17" s="277"/>
      <c r="F17" s="277"/>
      <c r="G17" s="277"/>
      <c r="H17" s="277"/>
      <c r="I17" s="278"/>
      <c r="J17" s="278"/>
      <c r="K17" s="279"/>
      <c r="L17" s="280"/>
      <c r="M17" s="14"/>
      <c r="N17" s="14"/>
      <c r="O17" s="14"/>
      <c r="P17" s="14"/>
      <c r="Q17" s="14"/>
      <c r="R17" s="14"/>
      <c r="S17" s="14"/>
    </row>
    <row r="18" spans="1:19" ht="15.5" outlineLevel="1" x14ac:dyDescent="0.35">
      <c r="A18" s="281" t="s">
        <v>68</v>
      </c>
      <c r="B18" s="282"/>
      <c r="C18" s="283"/>
      <c r="D18" s="284"/>
      <c r="E18" s="284"/>
      <c r="F18" s="284"/>
      <c r="G18" s="284"/>
      <c r="H18" s="284"/>
      <c r="I18" s="285"/>
      <c r="J18" s="285"/>
      <c r="K18" s="286"/>
      <c r="L18" s="280"/>
      <c r="M18" s="14"/>
      <c r="N18" s="14"/>
      <c r="O18" s="14"/>
      <c r="P18" s="14"/>
      <c r="Q18" s="14"/>
      <c r="R18" s="14"/>
      <c r="S18" s="14"/>
    </row>
    <row r="19" spans="1:19" ht="15.5" outlineLevel="1" x14ac:dyDescent="0.35">
      <c r="A19" s="256" t="s">
        <v>86</v>
      </c>
      <c r="B19" s="257" t="s">
        <v>77</v>
      </c>
      <c r="C19" s="287">
        <v>0.55000000000000004</v>
      </c>
      <c r="D19" s="288">
        <v>0.55000000000000004</v>
      </c>
      <c r="E19" s="288">
        <v>0.55000000000000004</v>
      </c>
      <c r="F19" s="288">
        <v>0.55000000000000004</v>
      </c>
      <c r="G19" s="288">
        <v>0.55000000000000004</v>
      </c>
      <c r="H19" s="288">
        <v>0.55000000000000004</v>
      </c>
      <c r="I19" s="289">
        <v>0.55000000000000004</v>
      </c>
      <c r="J19" s="289">
        <v>1.55</v>
      </c>
      <c r="K19" s="290">
        <f>AVERAGE(C19:I19)</f>
        <v>0.54999999999999993</v>
      </c>
      <c r="L19" s="274"/>
      <c r="M19" s="268"/>
      <c r="N19" s="268"/>
      <c r="O19" s="14"/>
      <c r="P19" s="14"/>
      <c r="Q19" s="14"/>
      <c r="R19" s="14"/>
      <c r="S19" s="14"/>
    </row>
    <row r="20" spans="1:19" ht="15.5" outlineLevel="1" x14ac:dyDescent="0.35">
      <c r="A20" s="256" t="s">
        <v>125</v>
      </c>
      <c r="B20" s="257" t="s">
        <v>77</v>
      </c>
      <c r="C20" s="287">
        <v>0.6</v>
      </c>
      <c r="D20" s="291">
        <f>C20*C21+C20</f>
        <v>0.61199999999999999</v>
      </c>
      <c r="E20" s="291">
        <f t="shared" ref="E20:H20" si="2">D20*D21+D20</f>
        <v>0.59975999999999996</v>
      </c>
      <c r="F20" s="291">
        <f t="shared" si="2"/>
        <v>0.58776479999999998</v>
      </c>
      <c r="G20" s="291">
        <f t="shared" si="2"/>
        <v>0.60539774400000002</v>
      </c>
      <c r="H20" s="291">
        <f t="shared" si="2"/>
        <v>0.60539774400000002</v>
      </c>
      <c r="I20" s="292">
        <f>H20*H21+H20</f>
        <v>0.60539774400000002</v>
      </c>
      <c r="J20" s="292">
        <f>I20*I21+I20</f>
        <v>0.59328978911999997</v>
      </c>
      <c r="K20" s="290">
        <f>AVERAGE(C20:I20)</f>
        <v>0.60224543314285728</v>
      </c>
      <c r="L20" s="274"/>
      <c r="M20" s="275"/>
      <c r="N20" s="275"/>
      <c r="O20" s="14"/>
      <c r="P20" s="14"/>
      <c r="Q20" s="14"/>
      <c r="R20" s="14"/>
      <c r="S20" s="14"/>
    </row>
    <row r="21" spans="1:19" ht="15.5" outlineLevel="1" x14ac:dyDescent="0.35">
      <c r="A21" s="262" t="s">
        <v>87</v>
      </c>
      <c r="B21" s="263" t="s">
        <v>49</v>
      </c>
      <c r="C21" s="264">
        <v>0.02</v>
      </c>
      <c r="D21" s="293">
        <v>-0.02</v>
      </c>
      <c r="E21" s="293">
        <v>-0.02</v>
      </c>
      <c r="F21" s="293">
        <v>0.03</v>
      </c>
      <c r="G21" s="265">
        <v>0</v>
      </c>
      <c r="H21" s="265">
        <v>0</v>
      </c>
      <c r="I21" s="294">
        <f>-2%</f>
        <v>-0.02</v>
      </c>
      <c r="J21" s="294">
        <f>-2%</f>
        <v>-0.02</v>
      </c>
      <c r="K21" s="290">
        <f>AVERAGE(C21:I21)</f>
        <v>-1.4285714285714288E-3</v>
      </c>
      <c r="L21" s="274"/>
      <c r="M21" s="268"/>
      <c r="N21" s="268"/>
      <c r="O21" s="14"/>
      <c r="P21" s="14"/>
      <c r="Q21" s="14"/>
      <c r="R21" s="14"/>
      <c r="S21" s="14"/>
    </row>
    <row r="22" spans="1:19" ht="15.5" outlineLevel="1" x14ac:dyDescent="0.35">
      <c r="A22" s="256" t="s">
        <v>70</v>
      </c>
      <c r="B22" s="257" t="s">
        <v>78</v>
      </c>
      <c r="C22" s="295">
        <f>C20*C15</f>
        <v>6</v>
      </c>
      <c r="D22" s="296">
        <f t="shared" ref="D22:H22" si="3">D20*D15</f>
        <v>6.12</v>
      </c>
      <c r="E22" s="296">
        <f t="shared" si="3"/>
        <v>5.9975999999999994</v>
      </c>
      <c r="F22" s="296">
        <f t="shared" si="3"/>
        <v>5.8776479999999998</v>
      </c>
      <c r="G22" s="296">
        <f t="shared" si="3"/>
        <v>6.0539774400000006</v>
      </c>
      <c r="H22" s="296">
        <f t="shared" si="3"/>
        <v>6.0539774400000006</v>
      </c>
      <c r="I22" s="297">
        <f>I20*I15</f>
        <v>6.0539774400000006</v>
      </c>
      <c r="J22" s="297">
        <f>J20*J15</f>
        <v>5.9328978911999997</v>
      </c>
      <c r="K22" s="290">
        <f>AVERAGE(C22:I22)</f>
        <v>6.0224543314285706</v>
      </c>
      <c r="L22" s="274"/>
      <c r="M22" s="268"/>
      <c r="N22" s="268"/>
      <c r="O22" s="14"/>
      <c r="P22" s="14"/>
      <c r="Q22" s="14"/>
      <c r="R22" s="14"/>
      <c r="S22" s="14"/>
    </row>
    <row r="23" spans="1:19" ht="3.65" customHeight="1" outlineLevel="1" x14ac:dyDescent="0.35">
      <c r="A23" s="256"/>
      <c r="B23" s="257"/>
      <c r="C23" s="276"/>
      <c r="D23" s="277"/>
      <c r="E23" s="277"/>
      <c r="F23" s="277"/>
      <c r="G23" s="277"/>
      <c r="H23" s="277"/>
      <c r="I23" s="278"/>
      <c r="J23" s="278"/>
      <c r="K23" s="279"/>
      <c r="L23" s="280"/>
      <c r="M23" s="14"/>
      <c r="N23" s="14"/>
      <c r="O23" s="14"/>
      <c r="P23" s="14"/>
      <c r="Q23" s="14"/>
      <c r="R23" s="14"/>
      <c r="S23" s="14"/>
    </row>
    <row r="24" spans="1:19" ht="15.5" outlineLevel="1" x14ac:dyDescent="0.35">
      <c r="A24" s="298" t="s">
        <v>89</v>
      </c>
      <c r="B24" s="257" t="s">
        <v>78</v>
      </c>
      <c r="C24" s="299">
        <v>1.2</v>
      </c>
      <c r="D24" s="300">
        <v>1.2</v>
      </c>
      <c r="E24" s="300">
        <v>1.2</v>
      </c>
      <c r="F24" s="300">
        <v>1.2</v>
      </c>
      <c r="G24" s="300">
        <v>1.2</v>
      </c>
      <c r="H24" s="300">
        <v>1.2</v>
      </c>
      <c r="I24" s="301">
        <v>1.2</v>
      </c>
      <c r="J24" s="301">
        <v>2.2000000000000002</v>
      </c>
      <c r="K24" s="290">
        <f>AVERAGE(C24:I24)</f>
        <v>1.2</v>
      </c>
      <c r="L24" s="274"/>
      <c r="M24" s="268"/>
      <c r="N24" s="268"/>
      <c r="O24" s="14"/>
      <c r="P24" s="14"/>
      <c r="Q24" s="14"/>
      <c r="R24" s="14"/>
      <c r="S24" s="14"/>
    </row>
    <row r="25" spans="1:19" ht="3.65" customHeight="1" outlineLevel="1" x14ac:dyDescent="0.35">
      <c r="A25" s="256"/>
      <c r="B25" s="257"/>
      <c r="C25" s="276"/>
      <c r="D25" s="277"/>
      <c r="E25" s="277"/>
      <c r="F25" s="277"/>
      <c r="G25" s="277"/>
      <c r="H25" s="277"/>
      <c r="I25" s="278"/>
      <c r="J25" s="278"/>
      <c r="K25" s="279"/>
      <c r="L25" s="280"/>
      <c r="M25" s="14"/>
      <c r="N25" s="14"/>
      <c r="O25" s="14"/>
      <c r="P25" s="14"/>
      <c r="Q25" s="14"/>
      <c r="R25" s="14"/>
      <c r="S25" s="14"/>
    </row>
    <row r="26" spans="1:19" ht="15.5" outlineLevel="1" x14ac:dyDescent="0.35">
      <c r="A26" s="298" t="s">
        <v>73</v>
      </c>
      <c r="B26" s="257" t="s">
        <v>49</v>
      </c>
      <c r="C26" s="302">
        <v>0.3</v>
      </c>
      <c r="D26" s="303">
        <v>0.3</v>
      </c>
      <c r="E26" s="303">
        <v>0.3</v>
      </c>
      <c r="F26" s="303">
        <v>0.35</v>
      </c>
      <c r="G26" s="303">
        <v>0.35</v>
      </c>
      <c r="H26" s="303">
        <v>0.35</v>
      </c>
      <c r="I26" s="304">
        <v>0.35</v>
      </c>
      <c r="J26" s="304">
        <v>0.35</v>
      </c>
      <c r="K26" s="290">
        <f>AVERAGE(C26:I26)</f>
        <v>0.32857142857142863</v>
      </c>
      <c r="L26" s="274"/>
      <c r="M26" s="268"/>
      <c r="N26" s="268"/>
      <c r="O26" s="14"/>
      <c r="P26" s="14"/>
      <c r="Q26" s="14"/>
      <c r="R26" s="14"/>
      <c r="S26" s="14"/>
    </row>
    <row r="27" spans="1:19" ht="15.5" outlineLevel="1" x14ac:dyDescent="0.35">
      <c r="A27" s="298" t="s">
        <v>55</v>
      </c>
      <c r="B27" s="257" t="s">
        <v>78</v>
      </c>
      <c r="C27" s="295">
        <f>(C22+C24)/(1-C26)</f>
        <v>10.285714285714286</v>
      </c>
      <c r="D27" s="296">
        <f>(D22+D24)/(1-D26)</f>
        <v>10.457142857142859</v>
      </c>
      <c r="E27" s="296">
        <f t="shared" ref="E27:H27" si="4">(E22+E24)/(1-E26)</f>
        <v>10.282285714285715</v>
      </c>
      <c r="F27" s="296">
        <f t="shared" si="4"/>
        <v>10.888689230769231</v>
      </c>
      <c r="G27" s="296">
        <f t="shared" si="4"/>
        <v>11.159965292307692</v>
      </c>
      <c r="H27" s="296">
        <f t="shared" si="4"/>
        <v>11.159965292307692</v>
      </c>
      <c r="I27" s="297">
        <f>(I22+I24)/(1-I26)</f>
        <v>11.159965292307692</v>
      </c>
      <c r="J27" s="297">
        <f>(J22+J24)/(1-J26)</f>
        <v>12.512150601846152</v>
      </c>
      <c r="K27" s="290">
        <f>AVERAGE(C27:I27)</f>
        <v>10.770532566405024</v>
      </c>
      <c r="L27" s="274"/>
      <c r="M27" s="275"/>
      <c r="N27" s="275"/>
      <c r="O27" s="14"/>
      <c r="P27" s="14"/>
      <c r="Q27" s="14"/>
      <c r="R27" s="14"/>
      <c r="S27" s="14"/>
    </row>
    <row r="28" spans="1:19" ht="3.65" customHeight="1" outlineLevel="1" x14ac:dyDescent="0.35">
      <c r="A28" s="256"/>
      <c r="B28" s="257"/>
      <c r="C28" s="276"/>
      <c r="D28" s="277"/>
      <c r="E28" s="277"/>
      <c r="F28" s="277"/>
      <c r="G28" s="277"/>
      <c r="H28" s="277"/>
      <c r="I28" s="278"/>
      <c r="J28" s="278"/>
      <c r="K28" s="279"/>
      <c r="L28" s="255"/>
      <c r="M28" s="14"/>
      <c r="N28" s="14"/>
      <c r="O28" s="14"/>
      <c r="P28" s="14"/>
      <c r="Q28" s="277"/>
      <c r="R28" s="14"/>
      <c r="S28" s="14"/>
    </row>
    <row r="29" spans="1:19" s="71" customFormat="1" ht="15.5" outlineLevel="1" x14ac:dyDescent="0.3">
      <c r="A29" s="305" t="s">
        <v>216</v>
      </c>
      <c r="B29" s="306" t="s">
        <v>53</v>
      </c>
      <c r="C29" s="307">
        <f>C16*C27</f>
        <v>6171.4285714285716</v>
      </c>
      <c r="D29" s="308">
        <f t="shared" ref="D29:H29" si="5">D16*D27</f>
        <v>8784.0000000000018</v>
      </c>
      <c r="E29" s="308">
        <f t="shared" si="5"/>
        <v>9500.8320000000003</v>
      </c>
      <c r="F29" s="308">
        <f t="shared" si="5"/>
        <v>11570.321176615384</v>
      </c>
      <c r="G29" s="308">
        <f t="shared" si="5"/>
        <v>13044.437031566771</v>
      </c>
      <c r="H29" s="308">
        <f t="shared" si="5"/>
        <v>15001.102586301784</v>
      </c>
      <c r="I29" s="309">
        <f>I16*I27</f>
        <v>17251.26797424705</v>
      </c>
      <c r="J29" s="309">
        <f>J16*J27</f>
        <v>22242.724409068735</v>
      </c>
      <c r="K29" s="310">
        <f>SUM(C29:I29)</f>
        <v>81323.389340159571</v>
      </c>
      <c r="L29" s="311" t="s">
        <v>79</v>
      </c>
      <c r="M29" s="225"/>
      <c r="N29" s="225"/>
      <c r="O29" s="225"/>
      <c r="P29" s="225"/>
      <c r="Q29" s="225"/>
      <c r="R29" s="225"/>
      <c r="S29" s="225"/>
    </row>
    <row r="30" spans="1:19" s="71" customFormat="1" ht="15.5" outlineLevel="1" x14ac:dyDescent="0.3">
      <c r="A30" s="312" t="s">
        <v>217</v>
      </c>
      <c r="B30" s="313" t="s">
        <v>53</v>
      </c>
      <c r="C30" s="314">
        <f>C13*C20+C24*C16</f>
        <v>4320</v>
      </c>
      <c r="D30" s="315">
        <f t="shared" ref="D30:H30" si="6">D13*D20+D24*D16</f>
        <v>6148.8</v>
      </c>
      <c r="E30" s="315">
        <f t="shared" si="6"/>
        <v>6650.5824000000002</v>
      </c>
      <c r="F30" s="315">
        <f t="shared" si="6"/>
        <v>7520.7087647999997</v>
      </c>
      <c r="G30" s="315">
        <f t="shared" si="6"/>
        <v>8478.8840705184011</v>
      </c>
      <c r="H30" s="315">
        <f t="shared" si="6"/>
        <v>9750.7166810961608</v>
      </c>
      <c r="I30" s="316">
        <f>I13*I20+I24*I16</f>
        <v>11213.324183260582</v>
      </c>
      <c r="J30" s="316">
        <f>J13*J20+J24*J16</f>
        <v>14457.770865894679</v>
      </c>
      <c r="K30" s="310">
        <f>SUM(C30:I30)</f>
        <v>54083.016099675151</v>
      </c>
      <c r="L30" s="311" t="s">
        <v>79</v>
      </c>
      <c r="M30" s="225"/>
      <c r="N30" s="225"/>
      <c r="O30" s="225"/>
      <c r="P30" s="225"/>
      <c r="Q30" s="225"/>
      <c r="R30" s="225"/>
      <c r="S30" s="225"/>
    </row>
    <row r="31" spans="1:19" s="71" customFormat="1" ht="16" outlineLevel="1" thickBot="1" x14ac:dyDescent="0.35">
      <c r="A31" s="317" t="s">
        <v>218</v>
      </c>
      <c r="B31" s="318" t="s">
        <v>53</v>
      </c>
      <c r="C31" s="319">
        <f>C29-C30</f>
        <v>1851.4285714285716</v>
      </c>
      <c r="D31" s="320">
        <f t="shared" ref="D31:H31" si="7">D29-D30</f>
        <v>2635.2000000000016</v>
      </c>
      <c r="E31" s="320">
        <f t="shared" si="7"/>
        <v>2850.2496000000001</v>
      </c>
      <c r="F31" s="320">
        <f t="shared" si="7"/>
        <v>4049.6124118153839</v>
      </c>
      <c r="G31" s="320">
        <f t="shared" si="7"/>
        <v>4565.55296104837</v>
      </c>
      <c r="H31" s="320">
        <f t="shared" si="7"/>
        <v>5250.3859052056232</v>
      </c>
      <c r="I31" s="321">
        <f>I29-I30</f>
        <v>6037.9437909864682</v>
      </c>
      <c r="J31" s="321">
        <f>J29-J30</f>
        <v>7784.9535431740551</v>
      </c>
      <c r="K31" s="322">
        <f>SUM(C31:I31)</f>
        <v>27240.37324048442</v>
      </c>
      <c r="L31" s="225"/>
      <c r="M31" s="225"/>
      <c r="N31" s="225"/>
      <c r="O31" s="225"/>
      <c r="P31" s="225"/>
      <c r="Q31" s="225"/>
      <c r="R31" s="225"/>
      <c r="S31" s="225"/>
    </row>
    <row r="32" spans="1:19" ht="16" outlineLevel="1" thickTop="1" x14ac:dyDescent="0.35">
      <c r="A32" s="323"/>
      <c r="B32" s="84"/>
      <c r="C32" s="324"/>
      <c r="D32" s="324"/>
      <c r="E32" s="324"/>
      <c r="F32" s="324"/>
      <c r="G32" s="324"/>
      <c r="H32" s="324"/>
      <c r="I32" s="324"/>
      <c r="J32" s="324"/>
      <c r="K32" s="14"/>
      <c r="L32" s="324"/>
      <c r="M32" s="324"/>
      <c r="N32" s="14"/>
      <c r="O32" s="14"/>
      <c r="P32" s="14"/>
      <c r="Q32" s="14"/>
      <c r="R32" s="14"/>
      <c r="S32" s="14"/>
    </row>
    <row r="33" spans="1:19" ht="15.5" outlineLevel="1" x14ac:dyDescent="0.35">
      <c r="A33" s="240" t="s">
        <v>141</v>
      </c>
      <c r="B33" s="241"/>
      <c r="C33" s="241"/>
      <c r="D33" s="241"/>
      <c r="E33" s="241"/>
      <c r="F33" s="241"/>
      <c r="G33" s="241"/>
      <c r="H33" s="241"/>
      <c r="I33" s="241"/>
      <c r="J33" s="241"/>
      <c r="K33" s="241"/>
      <c r="L33" s="241"/>
      <c r="M33" s="241"/>
      <c r="N33" s="241"/>
      <c r="O33" s="241"/>
      <c r="P33" s="241"/>
      <c r="Q33" s="14"/>
      <c r="R33" s="14"/>
      <c r="S33" s="14"/>
    </row>
    <row r="34" spans="1:19" s="71" customFormat="1" ht="46.5" outlineLevel="1" x14ac:dyDescent="0.3">
      <c r="A34" s="243"/>
      <c r="B34" s="244" t="s">
        <v>45</v>
      </c>
      <c r="C34" s="245" t="str">
        <f>Erfolgsrechnung!C8</f>
        <v>n = Vorjahr</v>
      </c>
      <c r="D34" s="245" t="str">
        <f>Erfolgsrechnung!D8</f>
        <v>n+1 
(1. PRE-Jahr)</v>
      </c>
      <c r="E34" s="245" t="str">
        <f>Erfolgsrechnung!E8</f>
        <v>n+2</v>
      </c>
      <c r="F34" s="245" t="str">
        <f>Erfolgsrechnung!F8</f>
        <v>n+3</v>
      </c>
      <c r="G34" s="245" t="str">
        <f>Erfolgsrechnung!G8</f>
        <v>n+4</v>
      </c>
      <c r="H34" s="245" t="str">
        <f>Erfolgsrechnung!H8</f>
        <v>n+5</v>
      </c>
      <c r="I34" s="245" t="str">
        <f>Erfolgsrechnung!I8</f>
        <v>n+6</v>
      </c>
      <c r="J34" s="245" t="str">
        <f>Erfolgsrechnung!J8</f>
        <v>1. Jahr nach Umsetzung</v>
      </c>
      <c r="K34" s="246" t="s">
        <v>19</v>
      </c>
      <c r="L34" s="247" t="s">
        <v>123</v>
      </c>
      <c r="M34" s="248"/>
      <c r="N34" s="248"/>
      <c r="O34" s="225"/>
      <c r="P34" s="225"/>
      <c r="Q34" s="225"/>
      <c r="R34" s="225"/>
      <c r="S34" s="225"/>
    </row>
    <row r="35" spans="1:19" ht="15.5" outlineLevel="1" x14ac:dyDescent="0.35">
      <c r="A35" s="249" t="s">
        <v>76</v>
      </c>
      <c r="B35" s="250"/>
      <c r="C35" s="251"/>
      <c r="D35" s="252"/>
      <c r="E35" s="252"/>
      <c r="F35" s="252"/>
      <c r="G35" s="252"/>
      <c r="H35" s="252"/>
      <c r="I35" s="253"/>
      <c r="J35" s="253"/>
      <c r="K35" s="325"/>
      <c r="L35" s="255"/>
      <c r="M35" s="14"/>
      <c r="N35" s="14"/>
      <c r="O35" s="14"/>
      <c r="P35" s="14"/>
      <c r="Q35" s="14"/>
      <c r="R35" s="14"/>
      <c r="S35" s="14"/>
    </row>
    <row r="36" spans="1:19" ht="15.5" outlineLevel="1" x14ac:dyDescent="0.35">
      <c r="A36" s="256" t="s">
        <v>71</v>
      </c>
      <c r="B36" s="257" t="s">
        <v>91</v>
      </c>
      <c r="C36" s="258">
        <v>0</v>
      </c>
      <c r="D36" s="272">
        <f>52*3</f>
        <v>156</v>
      </c>
      <c r="E36" s="259">
        <f>D36*(1+E37)</f>
        <v>171.60000000000002</v>
      </c>
      <c r="F36" s="259">
        <f t="shared" ref="F36:H36" si="8">E36*(1+F37)</f>
        <v>188.76000000000005</v>
      </c>
      <c r="G36" s="259">
        <f t="shared" si="8"/>
        <v>207.63600000000008</v>
      </c>
      <c r="H36" s="259">
        <f t="shared" si="8"/>
        <v>228.39960000000011</v>
      </c>
      <c r="I36" s="326">
        <f>H36*(1+I37)</f>
        <v>251.23956000000013</v>
      </c>
      <c r="J36" s="326">
        <f>I36*(1+J37)</f>
        <v>527.60307600000033</v>
      </c>
      <c r="K36" s="261">
        <f>SUM(C36:I36)</f>
        <v>1203.6351600000005</v>
      </c>
      <c r="L36" s="274"/>
      <c r="M36" s="268"/>
      <c r="N36" s="268"/>
      <c r="O36" s="14"/>
      <c r="P36" s="14"/>
      <c r="Q36" s="14"/>
      <c r="R36" s="14"/>
      <c r="S36" s="14"/>
    </row>
    <row r="37" spans="1:19" ht="15.5" outlineLevel="1" x14ac:dyDescent="0.35">
      <c r="A37" s="262" t="s">
        <v>51</v>
      </c>
      <c r="B37" s="263" t="s">
        <v>49</v>
      </c>
      <c r="C37" s="264"/>
      <c r="D37" s="265"/>
      <c r="E37" s="265">
        <v>0.1</v>
      </c>
      <c r="F37" s="265">
        <v>0.1</v>
      </c>
      <c r="G37" s="265">
        <v>0.1</v>
      </c>
      <c r="H37" s="265">
        <v>0.1</v>
      </c>
      <c r="I37" s="327">
        <v>0.1</v>
      </c>
      <c r="J37" s="327">
        <v>1.1000000000000001</v>
      </c>
      <c r="K37" s="266">
        <f>AVERAGE(D37:I37)</f>
        <v>0.1</v>
      </c>
      <c r="L37" s="274"/>
      <c r="M37" s="268"/>
      <c r="N37" s="268"/>
      <c r="O37" s="14"/>
      <c r="P37" s="14"/>
      <c r="Q37" s="14"/>
      <c r="R37" s="14"/>
      <c r="S37" s="14"/>
    </row>
    <row r="38" spans="1:19" ht="15.5" outlineLevel="1" x14ac:dyDescent="0.35">
      <c r="A38" s="256" t="s">
        <v>92</v>
      </c>
      <c r="B38" s="257" t="s">
        <v>74</v>
      </c>
      <c r="C38" s="258">
        <v>0</v>
      </c>
      <c r="D38" s="272">
        <v>40</v>
      </c>
      <c r="E38" s="272">
        <v>40</v>
      </c>
      <c r="F38" s="272">
        <v>40</v>
      </c>
      <c r="G38" s="272">
        <v>40</v>
      </c>
      <c r="H38" s="272">
        <v>40</v>
      </c>
      <c r="I38" s="328">
        <v>40</v>
      </c>
      <c r="J38" s="328">
        <v>41</v>
      </c>
      <c r="K38" s="329">
        <f>SUM(C38:I38)</f>
        <v>240</v>
      </c>
      <c r="L38" s="274"/>
      <c r="M38" s="268"/>
      <c r="N38" s="268"/>
      <c r="O38" s="14"/>
      <c r="P38" s="14"/>
      <c r="Q38" s="14"/>
      <c r="R38" s="14"/>
      <c r="S38" s="14"/>
    </row>
    <row r="39" spans="1:19" ht="15.5" outlineLevel="1" x14ac:dyDescent="0.35">
      <c r="A39" s="256" t="s">
        <v>55</v>
      </c>
      <c r="B39" s="257" t="s">
        <v>74</v>
      </c>
      <c r="C39" s="330"/>
      <c r="D39" s="259">
        <f>D38/(1-D40)</f>
        <v>80</v>
      </c>
      <c r="E39" s="259">
        <f t="shared" ref="E39:H39" si="9">E38/(1-E40)</f>
        <v>88.8888888888889</v>
      </c>
      <c r="F39" s="259">
        <f t="shared" si="9"/>
        <v>100</v>
      </c>
      <c r="G39" s="259">
        <f t="shared" si="9"/>
        <v>100</v>
      </c>
      <c r="H39" s="259">
        <f t="shared" si="9"/>
        <v>100</v>
      </c>
      <c r="I39" s="326">
        <f>I38/(1-I40)</f>
        <v>100</v>
      </c>
      <c r="J39" s="326">
        <f>J38/(1-J40)</f>
        <v>102.5</v>
      </c>
      <c r="K39" s="273">
        <f>AVERAGE(C39:I39)</f>
        <v>94.814814814814824</v>
      </c>
      <c r="L39" s="274"/>
      <c r="M39" s="268"/>
      <c r="N39" s="268"/>
      <c r="O39" s="14"/>
      <c r="P39" s="14"/>
      <c r="Q39" s="14"/>
      <c r="R39" s="14"/>
      <c r="S39" s="14"/>
    </row>
    <row r="40" spans="1:19" ht="15.5" outlineLevel="1" x14ac:dyDescent="0.35">
      <c r="A40" s="256" t="s">
        <v>54</v>
      </c>
      <c r="B40" s="257" t="s">
        <v>49</v>
      </c>
      <c r="C40" s="302"/>
      <c r="D40" s="331">
        <v>0.5</v>
      </c>
      <c r="E40" s="303">
        <v>0.55000000000000004</v>
      </c>
      <c r="F40" s="303">
        <v>0.6</v>
      </c>
      <c r="G40" s="303">
        <v>0.6</v>
      </c>
      <c r="H40" s="303">
        <v>0.6</v>
      </c>
      <c r="I40" s="332">
        <v>0.6</v>
      </c>
      <c r="J40" s="332">
        <v>0.6</v>
      </c>
      <c r="K40" s="333">
        <f>AVERAGE(C40:I40)</f>
        <v>0.57500000000000007</v>
      </c>
      <c r="L40" s="274"/>
      <c r="M40" s="268"/>
      <c r="N40" s="268"/>
      <c r="O40" s="14"/>
      <c r="P40" s="14"/>
      <c r="Q40" s="14"/>
      <c r="R40" s="14"/>
      <c r="S40" s="14"/>
    </row>
    <row r="41" spans="1:19" ht="3.65" customHeight="1" outlineLevel="1" x14ac:dyDescent="0.35">
      <c r="A41" s="256"/>
      <c r="B41" s="257"/>
      <c r="C41" s="276"/>
      <c r="D41" s="277"/>
      <c r="E41" s="277"/>
      <c r="F41" s="277"/>
      <c r="G41" s="277"/>
      <c r="H41" s="277"/>
      <c r="I41" s="280"/>
      <c r="J41" s="280"/>
      <c r="K41" s="254"/>
      <c r="L41" s="311"/>
      <c r="M41" s="324"/>
      <c r="N41" s="85"/>
      <c r="O41" s="14"/>
      <c r="P41" s="14"/>
      <c r="Q41" s="14"/>
      <c r="R41" s="14"/>
      <c r="S41" s="14"/>
    </row>
    <row r="42" spans="1:19" s="71" customFormat="1" ht="15.5" outlineLevel="1" x14ac:dyDescent="0.35">
      <c r="A42" s="305" t="s">
        <v>216</v>
      </c>
      <c r="B42" s="306"/>
      <c r="C42" s="307">
        <f>C36*C39</f>
        <v>0</v>
      </c>
      <c r="D42" s="308">
        <f t="shared" ref="D42:H42" si="10">D36*D39</f>
        <v>12480</v>
      </c>
      <c r="E42" s="308">
        <f t="shared" si="10"/>
        <v>15253.333333333338</v>
      </c>
      <c r="F42" s="308">
        <f t="shared" si="10"/>
        <v>18876.000000000004</v>
      </c>
      <c r="G42" s="308">
        <f t="shared" si="10"/>
        <v>20763.600000000009</v>
      </c>
      <c r="H42" s="308">
        <f t="shared" si="10"/>
        <v>22839.96000000001</v>
      </c>
      <c r="I42" s="334">
        <f>I36*I39</f>
        <v>25123.956000000013</v>
      </c>
      <c r="J42" s="334">
        <f>J36*J39</f>
        <v>54079.315290000035</v>
      </c>
      <c r="K42" s="335">
        <f>SUM(C42:I42)</f>
        <v>115336.84933333338</v>
      </c>
      <c r="L42" s="311" t="s">
        <v>79</v>
      </c>
      <c r="M42" s="324"/>
      <c r="N42" s="85"/>
      <c r="O42" s="225"/>
      <c r="P42" s="225"/>
      <c r="Q42" s="225"/>
      <c r="R42" s="225"/>
      <c r="S42" s="225"/>
    </row>
    <row r="43" spans="1:19" s="71" customFormat="1" ht="15.5" outlineLevel="1" x14ac:dyDescent="0.35">
      <c r="A43" s="312" t="s">
        <v>217</v>
      </c>
      <c r="B43" s="313"/>
      <c r="C43" s="314">
        <f>C36*C38</f>
        <v>0</v>
      </c>
      <c r="D43" s="315">
        <f t="shared" ref="D43:H43" si="11">D36*D38</f>
        <v>6240</v>
      </c>
      <c r="E43" s="315">
        <f t="shared" si="11"/>
        <v>6864.0000000000009</v>
      </c>
      <c r="F43" s="315">
        <f t="shared" si="11"/>
        <v>7550.4000000000015</v>
      </c>
      <c r="G43" s="315">
        <f t="shared" si="11"/>
        <v>8305.4400000000023</v>
      </c>
      <c r="H43" s="315">
        <f t="shared" si="11"/>
        <v>9135.984000000004</v>
      </c>
      <c r="I43" s="336">
        <f>I36*I38</f>
        <v>10049.582400000005</v>
      </c>
      <c r="J43" s="336">
        <f>J36*J38</f>
        <v>21631.726116000013</v>
      </c>
      <c r="K43" s="335">
        <f>SUM(C43:I43)</f>
        <v>48145.406400000014</v>
      </c>
      <c r="L43" s="311" t="s">
        <v>79</v>
      </c>
      <c r="M43" s="337"/>
      <c r="N43" s="85"/>
      <c r="O43" s="225"/>
      <c r="P43" s="225"/>
      <c r="Q43" s="225"/>
      <c r="R43" s="225"/>
      <c r="S43" s="225"/>
    </row>
    <row r="44" spans="1:19" s="71" customFormat="1" ht="16" outlineLevel="1" thickBot="1" x14ac:dyDescent="0.4">
      <c r="A44" s="317" t="s">
        <v>219</v>
      </c>
      <c r="B44" s="318" t="s">
        <v>53</v>
      </c>
      <c r="C44" s="319">
        <f>C42-C43</f>
        <v>0</v>
      </c>
      <c r="D44" s="320">
        <f>D42-D43</f>
        <v>6240</v>
      </c>
      <c r="E44" s="320">
        <f t="shared" ref="E44:H44" si="12">E42-E43</f>
        <v>8389.3333333333358</v>
      </c>
      <c r="F44" s="320">
        <f t="shared" si="12"/>
        <v>11325.600000000002</v>
      </c>
      <c r="G44" s="320">
        <f t="shared" si="12"/>
        <v>12458.160000000007</v>
      </c>
      <c r="H44" s="320">
        <f t="shared" si="12"/>
        <v>13703.976000000006</v>
      </c>
      <c r="I44" s="338">
        <f>I42-I43</f>
        <v>15074.373600000008</v>
      </c>
      <c r="J44" s="338">
        <f>J42-J43</f>
        <v>32447.589174000022</v>
      </c>
      <c r="K44" s="339">
        <f>SUM(C44:I44)</f>
        <v>67191.442933333354</v>
      </c>
      <c r="L44" s="340"/>
      <c r="M44" s="341"/>
      <c r="N44" s="85"/>
      <c r="O44" s="225"/>
      <c r="P44" s="225"/>
      <c r="Q44" s="225"/>
      <c r="R44" s="225"/>
      <c r="S44" s="225"/>
    </row>
    <row r="45" spans="1:19" ht="16" outlineLevel="1" thickTop="1" x14ac:dyDescent="0.35">
      <c r="A45" s="323"/>
      <c r="B45" s="84"/>
      <c r="C45" s="324"/>
      <c r="D45" s="324"/>
      <c r="E45" s="324"/>
      <c r="F45" s="324"/>
      <c r="G45" s="324"/>
      <c r="H45" s="324"/>
      <c r="I45" s="324"/>
      <c r="J45" s="324"/>
      <c r="K45" s="14"/>
      <c r="L45" s="324"/>
      <c r="M45" s="324"/>
      <c r="N45" s="14"/>
      <c r="O45" s="14"/>
      <c r="P45" s="14"/>
      <c r="Q45" s="14"/>
      <c r="R45" s="14"/>
      <c r="S45" s="14"/>
    </row>
    <row r="46" spans="1:19" ht="15.5" outlineLevel="1" x14ac:dyDescent="0.35">
      <c r="A46" s="240" t="s">
        <v>142</v>
      </c>
      <c r="B46" s="241"/>
      <c r="C46" s="241"/>
      <c r="D46" s="241"/>
      <c r="E46" s="241"/>
      <c r="F46" s="241"/>
      <c r="G46" s="241"/>
      <c r="H46" s="241"/>
      <c r="I46" s="241"/>
      <c r="J46" s="241"/>
      <c r="K46" s="241"/>
      <c r="L46" s="241"/>
      <c r="M46" s="241"/>
      <c r="N46" s="241"/>
      <c r="O46" s="241"/>
      <c r="P46" s="241"/>
      <c r="Q46" s="14"/>
      <c r="R46" s="14"/>
      <c r="S46" s="14"/>
    </row>
    <row r="47" spans="1:19" s="71" customFormat="1" ht="46.5" outlineLevel="1" x14ac:dyDescent="0.3">
      <c r="A47" s="243"/>
      <c r="B47" s="244" t="s">
        <v>45</v>
      </c>
      <c r="C47" s="245" t="str">
        <f>Erfolgsrechnung!C8</f>
        <v>n = Vorjahr</v>
      </c>
      <c r="D47" s="245" t="str">
        <f>Erfolgsrechnung!D8</f>
        <v>n+1 
(1. PRE-Jahr)</v>
      </c>
      <c r="E47" s="245" t="str">
        <f>Erfolgsrechnung!E8</f>
        <v>n+2</v>
      </c>
      <c r="F47" s="245" t="str">
        <f>Erfolgsrechnung!F8</f>
        <v>n+3</v>
      </c>
      <c r="G47" s="245" t="str">
        <f>Erfolgsrechnung!G8</f>
        <v>n+4</v>
      </c>
      <c r="H47" s="245" t="str">
        <f>Erfolgsrechnung!H8</f>
        <v>n+5</v>
      </c>
      <c r="I47" s="245" t="str">
        <f>Erfolgsrechnung!I8</f>
        <v>n+6</v>
      </c>
      <c r="J47" s="245" t="str">
        <f>Erfolgsrechnung!J8</f>
        <v>1. Jahr nach Umsetzung</v>
      </c>
      <c r="K47" s="246" t="s">
        <v>19</v>
      </c>
      <c r="L47" s="247" t="s">
        <v>123</v>
      </c>
      <c r="M47" s="248"/>
      <c r="N47" s="248"/>
      <c r="O47" s="225"/>
      <c r="P47" s="225"/>
      <c r="Q47" s="225"/>
      <c r="R47" s="225"/>
      <c r="S47" s="225"/>
    </row>
    <row r="48" spans="1:19" ht="15.5" outlineLevel="1" x14ac:dyDescent="0.35">
      <c r="A48" s="249" t="s">
        <v>106</v>
      </c>
      <c r="B48" s="250"/>
      <c r="C48" s="251"/>
      <c r="D48" s="252"/>
      <c r="E48" s="252"/>
      <c r="F48" s="252"/>
      <c r="G48" s="252"/>
      <c r="H48" s="252"/>
      <c r="I48" s="252"/>
      <c r="J48" s="252"/>
      <c r="K48" s="325"/>
      <c r="L48" s="255"/>
      <c r="M48" s="14"/>
      <c r="N48" s="14"/>
      <c r="O48" s="14"/>
      <c r="P48" s="14"/>
      <c r="Q48" s="14"/>
      <c r="R48" s="14"/>
      <c r="S48" s="14"/>
    </row>
    <row r="49" spans="1:19" ht="15.5" outlineLevel="1" x14ac:dyDescent="0.35">
      <c r="A49" s="256" t="s">
        <v>107</v>
      </c>
      <c r="B49" s="257" t="s">
        <v>108</v>
      </c>
      <c r="C49" s="258">
        <v>0</v>
      </c>
      <c r="D49" s="272"/>
      <c r="E49" s="272"/>
      <c r="F49" s="272"/>
      <c r="G49" s="272"/>
      <c r="H49" s="272"/>
      <c r="I49" s="272"/>
      <c r="J49" s="272"/>
      <c r="K49" s="261"/>
      <c r="L49" s="274"/>
      <c r="M49" s="268"/>
      <c r="N49" s="268"/>
      <c r="O49" s="14"/>
      <c r="P49" s="14"/>
      <c r="Q49" s="14"/>
      <c r="R49" s="14"/>
      <c r="S49" s="14"/>
    </row>
    <row r="50" spans="1:19" ht="15.5" outlineLevel="1" x14ac:dyDescent="0.35">
      <c r="A50" s="262" t="s">
        <v>51</v>
      </c>
      <c r="B50" s="263" t="s">
        <v>49</v>
      </c>
      <c r="C50" s="264"/>
      <c r="D50" s="265"/>
      <c r="E50" s="265"/>
      <c r="F50" s="265"/>
      <c r="G50" s="265"/>
      <c r="H50" s="265"/>
      <c r="I50" s="265"/>
      <c r="J50" s="265"/>
      <c r="K50" s="266"/>
      <c r="L50" s="274"/>
      <c r="M50" s="268"/>
      <c r="N50" s="268"/>
      <c r="O50" s="14"/>
      <c r="P50" s="14"/>
      <c r="Q50" s="14"/>
      <c r="R50" s="14"/>
      <c r="S50" s="14"/>
    </row>
    <row r="51" spans="1:19" ht="15.5" outlineLevel="1" x14ac:dyDescent="0.35">
      <c r="A51" s="256" t="s">
        <v>92</v>
      </c>
      <c r="B51" s="257" t="s">
        <v>74</v>
      </c>
      <c r="C51" s="258"/>
      <c r="D51" s="272"/>
      <c r="E51" s="272"/>
      <c r="F51" s="272"/>
      <c r="G51" s="272"/>
      <c r="H51" s="272"/>
      <c r="I51" s="272"/>
      <c r="J51" s="272"/>
      <c r="K51" s="329"/>
      <c r="L51" s="274"/>
      <c r="M51" s="268"/>
      <c r="N51" s="268"/>
      <c r="O51" s="14"/>
      <c r="P51" s="14"/>
      <c r="Q51" s="14"/>
      <c r="R51" s="14"/>
      <c r="S51" s="14"/>
    </row>
    <row r="52" spans="1:19" ht="15.5" outlineLevel="1" x14ac:dyDescent="0.35">
      <c r="A52" s="256"/>
      <c r="B52" s="257"/>
      <c r="C52" s="258"/>
      <c r="D52" s="272"/>
      <c r="E52" s="272"/>
      <c r="F52" s="272"/>
      <c r="G52" s="272"/>
      <c r="H52" s="272"/>
      <c r="I52" s="272"/>
      <c r="J52" s="272"/>
      <c r="K52" s="273"/>
      <c r="L52" s="274"/>
      <c r="M52" s="268"/>
      <c r="N52" s="268"/>
      <c r="O52" s="14"/>
      <c r="P52" s="14"/>
      <c r="Q52" s="14"/>
      <c r="R52" s="14"/>
      <c r="S52" s="14"/>
    </row>
    <row r="53" spans="1:19" ht="15.5" outlineLevel="1" x14ac:dyDescent="0.35">
      <c r="A53" s="256" t="s">
        <v>55</v>
      </c>
      <c r="B53" s="257" t="s">
        <v>74</v>
      </c>
      <c r="C53" s="330"/>
      <c r="D53" s="259"/>
      <c r="E53" s="259"/>
      <c r="F53" s="259"/>
      <c r="G53" s="259"/>
      <c r="H53" s="259"/>
      <c r="I53" s="259"/>
      <c r="J53" s="259"/>
      <c r="K53" s="333"/>
      <c r="L53" s="274"/>
      <c r="M53" s="268"/>
      <c r="N53" s="268"/>
      <c r="O53" s="14"/>
      <c r="P53" s="14"/>
      <c r="Q53" s="14"/>
      <c r="R53" s="14"/>
      <c r="S53" s="14"/>
    </row>
    <row r="54" spans="1:19" ht="15.5" outlineLevel="1" x14ac:dyDescent="0.35">
      <c r="A54" s="256" t="s">
        <v>54</v>
      </c>
      <c r="B54" s="257" t="s">
        <v>49</v>
      </c>
      <c r="C54" s="302"/>
      <c r="D54" s="331"/>
      <c r="E54" s="303"/>
      <c r="F54" s="303"/>
      <c r="G54" s="303"/>
      <c r="H54" s="303"/>
      <c r="I54" s="303"/>
      <c r="J54" s="303"/>
      <c r="K54" s="254"/>
      <c r="L54" s="311"/>
      <c r="M54" s="324"/>
      <c r="N54" s="85"/>
      <c r="O54" s="85"/>
      <c r="P54" s="85"/>
      <c r="Q54" s="14"/>
      <c r="R54" s="14"/>
      <c r="S54" s="14"/>
    </row>
    <row r="55" spans="1:19" ht="3.65" customHeight="1" outlineLevel="1" x14ac:dyDescent="0.35">
      <c r="A55" s="256"/>
      <c r="B55" s="257"/>
      <c r="C55" s="276"/>
      <c r="D55" s="277"/>
      <c r="E55" s="277"/>
      <c r="F55" s="277"/>
      <c r="G55" s="277"/>
      <c r="H55" s="277"/>
      <c r="I55" s="277"/>
      <c r="J55" s="277"/>
      <c r="K55" s="14"/>
      <c r="L55" s="311"/>
      <c r="M55" s="324"/>
      <c r="N55" s="85"/>
      <c r="O55" s="85"/>
      <c r="P55" s="85"/>
      <c r="Q55" s="14"/>
      <c r="R55" s="14"/>
      <c r="S55" s="14"/>
    </row>
    <row r="56" spans="1:19" s="71" customFormat="1" ht="15.5" outlineLevel="1" x14ac:dyDescent="0.35">
      <c r="A56" s="305" t="s">
        <v>216</v>
      </c>
      <c r="B56" s="306"/>
      <c r="C56" s="307">
        <f>C49*C53</f>
        <v>0</v>
      </c>
      <c r="D56" s="308">
        <f t="shared" ref="D56:J56" si="13">D49*D53</f>
        <v>0</v>
      </c>
      <c r="E56" s="308">
        <f t="shared" si="13"/>
        <v>0</v>
      </c>
      <c r="F56" s="308">
        <f t="shared" si="13"/>
        <v>0</v>
      </c>
      <c r="G56" s="308">
        <f t="shared" si="13"/>
        <v>0</v>
      </c>
      <c r="H56" s="308">
        <f t="shared" si="13"/>
        <v>0</v>
      </c>
      <c r="I56" s="308"/>
      <c r="J56" s="308">
        <f t="shared" si="13"/>
        <v>0</v>
      </c>
      <c r="K56" s="335"/>
      <c r="L56" s="311" t="s">
        <v>79</v>
      </c>
      <c r="M56" s="337"/>
      <c r="N56" s="85"/>
      <c r="O56" s="84"/>
      <c r="P56" s="84"/>
      <c r="Q56" s="225"/>
      <c r="R56" s="225"/>
      <c r="S56" s="225"/>
    </row>
    <row r="57" spans="1:19" s="71" customFormat="1" ht="15.5" outlineLevel="1" x14ac:dyDescent="0.35">
      <c r="A57" s="312" t="s">
        <v>217</v>
      </c>
      <c r="B57" s="313"/>
      <c r="C57" s="314">
        <f>C49*C51</f>
        <v>0</v>
      </c>
      <c r="D57" s="315">
        <f t="shared" ref="D57:J57" si="14">D49*D51</f>
        <v>0</v>
      </c>
      <c r="E57" s="315">
        <f t="shared" si="14"/>
        <v>0</v>
      </c>
      <c r="F57" s="315">
        <f t="shared" si="14"/>
        <v>0</v>
      </c>
      <c r="G57" s="315">
        <f t="shared" si="14"/>
        <v>0</v>
      </c>
      <c r="H57" s="315">
        <f t="shared" si="14"/>
        <v>0</v>
      </c>
      <c r="I57" s="315"/>
      <c r="J57" s="315">
        <f t="shared" si="14"/>
        <v>0</v>
      </c>
      <c r="K57" s="335"/>
      <c r="L57" s="311" t="s">
        <v>79</v>
      </c>
      <c r="M57" s="341"/>
      <c r="N57" s="85"/>
      <c r="O57" s="84"/>
      <c r="P57" s="84"/>
      <c r="Q57" s="225"/>
      <c r="R57" s="225"/>
      <c r="S57" s="225"/>
    </row>
    <row r="58" spans="1:19" s="71" customFormat="1" ht="16" outlineLevel="1" thickBot="1" x14ac:dyDescent="0.4">
      <c r="A58" s="317" t="s">
        <v>220</v>
      </c>
      <c r="B58" s="318" t="s">
        <v>53</v>
      </c>
      <c r="C58" s="319">
        <f>C56-C57</f>
        <v>0</v>
      </c>
      <c r="D58" s="320">
        <f>D56-D57</f>
        <v>0</v>
      </c>
      <c r="E58" s="320">
        <f t="shared" ref="E58:J58" si="15">E56-E57</f>
        <v>0</v>
      </c>
      <c r="F58" s="320">
        <f t="shared" si="15"/>
        <v>0</v>
      </c>
      <c r="G58" s="320">
        <f t="shared" si="15"/>
        <v>0</v>
      </c>
      <c r="H58" s="320">
        <f t="shared" si="15"/>
        <v>0</v>
      </c>
      <c r="I58" s="320"/>
      <c r="J58" s="320">
        <f t="shared" si="15"/>
        <v>0</v>
      </c>
      <c r="K58" s="339"/>
      <c r="L58" s="311"/>
      <c r="M58" s="341"/>
      <c r="N58" s="85"/>
      <c r="O58" s="84"/>
      <c r="P58" s="84"/>
      <c r="Q58" s="225"/>
      <c r="R58" s="225"/>
      <c r="S58" s="225"/>
    </row>
    <row r="59" spans="1:19" ht="16" outlineLevel="1" thickTop="1" x14ac:dyDescent="0.35">
      <c r="A59" s="323"/>
      <c r="B59" s="84"/>
      <c r="C59" s="324"/>
      <c r="D59" s="324"/>
      <c r="E59" s="324"/>
      <c r="F59" s="324"/>
      <c r="G59" s="324"/>
      <c r="H59" s="324"/>
      <c r="I59" s="324"/>
      <c r="J59" s="324"/>
      <c r="K59" s="324"/>
      <c r="L59" s="324"/>
      <c r="M59" s="14"/>
      <c r="N59" s="14"/>
      <c r="O59" s="14"/>
      <c r="P59" s="14"/>
      <c r="Q59" s="14"/>
      <c r="R59" s="225"/>
      <c r="S59" s="14"/>
    </row>
    <row r="60" spans="1:19" ht="15.5" x14ac:dyDescent="0.35">
      <c r="A60" s="14"/>
      <c r="B60" s="14"/>
      <c r="C60" s="14"/>
      <c r="D60" s="14"/>
      <c r="E60" s="14"/>
      <c r="F60" s="14"/>
      <c r="G60" s="14"/>
      <c r="H60" s="14"/>
      <c r="I60" s="14"/>
      <c r="J60" s="14"/>
      <c r="K60" s="14"/>
      <c r="L60" s="14"/>
      <c r="M60" s="14"/>
      <c r="N60" s="14"/>
      <c r="O60" s="14"/>
      <c r="P60" s="14"/>
      <c r="Q60" s="14"/>
      <c r="R60" s="225"/>
      <c r="S60" s="14"/>
    </row>
    <row r="61" spans="1:19" s="70" customFormat="1" ht="26.15" customHeight="1" x14ac:dyDescent="0.3">
      <c r="A61" s="69" t="s">
        <v>164</v>
      </c>
      <c r="B61" s="235"/>
      <c r="C61" s="235"/>
      <c r="D61" s="235"/>
      <c r="E61" s="235"/>
      <c r="F61" s="235"/>
      <c r="G61" s="235"/>
      <c r="H61" s="235"/>
      <c r="I61" s="235"/>
      <c r="J61" s="235"/>
      <c r="K61" s="235"/>
      <c r="L61" s="69"/>
      <c r="M61" s="236"/>
      <c r="N61" s="237"/>
      <c r="O61" s="238"/>
      <c r="P61" s="238"/>
      <c r="Q61" s="239"/>
      <c r="R61" s="239"/>
      <c r="S61" s="239"/>
    </row>
    <row r="62" spans="1:19" s="71" customFormat="1" ht="31" outlineLevel="1" x14ac:dyDescent="0.3">
      <c r="A62" s="342"/>
      <c r="B62" s="244" t="s">
        <v>45</v>
      </c>
      <c r="C62" s="245" t="s">
        <v>1</v>
      </c>
      <c r="D62" s="343" t="s">
        <v>48</v>
      </c>
      <c r="E62" s="343" t="s">
        <v>3</v>
      </c>
      <c r="F62" s="343" t="s">
        <v>4</v>
      </c>
      <c r="G62" s="343" t="s">
        <v>5</v>
      </c>
      <c r="H62" s="343" t="s">
        <v>6</v>
      </c>
      <c r="I62" s="344"/>
      <c r="J62" s="345" t="s">
        <v>7</v>
      </c>
      <c r="K62" s="246" t="s">
        <v>84</v>
      </c>
      <c r="L62" s="346" t="s">
        <v>124</v>
      </c>
      <c r="M62" s="347" t="s">
        <v>115</v>
      </c>
      <c r="N62" s="247" t="s">
        <v>123</v>
      </c>
      <c r="O62" s="248"/>
      <c r="P62" s="248"/>
      <c r="Q62" s="225"/>
      <c r="R62" s="225"/>
      <c r="S62" s="225"/>
    </row>
    <row r="63" spans="1:19" s="3" customFormat="1" ht="14.25" customHeight="1" outlineLevel="1" x14ac:dyDescent="0.3">
      <c r="A63" s="348" t="s">
        <v>157</v>
      </c>
      <c r="B63" s="349"/>
      <c r="C63" s="350"/>
      <c r="D63" s="350"/>
      <c r="E63" s="350"/>
      <c r="F63" s="350"/>
      <c r="G63" s="350"/>
      <c r="H63" s="350"/>
      <c r="I63" s="350"/>
      <c r="J63" s="351"/>
      <c r="K63" s="352" t="s">
        <v>79</v>
      </c>
      <c r="L63" s="353"/>
      <c r="M63" s="353"/>
      <c r="N63" s="354"/>
      <c r="O63" s="352"/>
      <c r="P63" s="352"/>
      <c r="Q63" s="225"/>
      <c r="R63" s="225"/>
      <c r="S63" s="225"/>
    </row>
    <row r="64" spans="1:19" s="3" customFormat="1" ht="4.5" customHeight="1" outlineLevel="1" x14ac:dyDescent="0.3">
      <c r="A64" s="225"/>
      <c r="B64" s="313"/>
      <c r="C64" s="355"/>
      <c r="D64" s="355"/>
      <c r="E64" s="355"/>
      <c r="F64" s="355"/>
      <c r="G64" s="355"/>
      <c r="H64" s="355"/>
      <c r="I64" s="355"/>
      <c r="J64" s="356"/>
      <c r="K64" s="225"/>
      <c r="L64" s="357"/>
      <c r="M64" s="357"/>
      <c r="N64" s="225"/>
      <c r="O64" s="225"/>
      <c r="P64" s="225"/>
      <c r="Q64" s="225"/>
      <c r="R64" s="225"/>
      <c r="S64" s="225"/>
    </row>
    <row r="65" spans="1:19" s="71" customFormat="1" ht="15.5" outlineLevel="1" x14ac:dyDescent="0.3">
      <c r="A65" s="225" t="s">
        <v>17</v>
      </c>
      <c r="B65" s="358">
        <v>0.15</v>
      </c>
      <c r="C65" s="225"/>
      <c r="D65" s="225"/>
      <c r="E65" s="225"/>
      <c r="F65" s="225"/>
      <c r="G65" s="225"/>
      <c r="H65" s="225"/>
      <c r="I65" s="225"/>
      <c r="J65" s="359"/>
      <c r="K65" s="225"/>
      <c r="L65" s="357" t="s">
        <v>96</v>
      </c>
      <c r="M65" s="357" t="s">
        <v>97</v>
      </c>
      <c r="N65" s="225"/>
      <c r="O65" s="225"/>
      <c r="P65" s="225"/>
      <c r="Q65" s="225"/>
      <c r="R65" s="225"/>
      <c r="S65" s="225"/>
    </row>
    <row r="66" spans="1:19" s="71" customFormat="1" ht="15.5" outlineLevel="1" x14ac:dyDescent="0.3">
      <c r="A66" s="355" t="s">
        <v>117</v>
      </c>
      <c r="B66" s="313"/>
      <c r="C66" s="225"/>
      <c r="D66" s="225"/>
      <c r="E66" s="225"/>
      <c r="F66" s="225"/>
      <c r="G66" s="225"/>
      <c r="H66" s="225"/>
      <c r="I66" s="225"/>
      <c r="J66" s="359"/>
      <c r="K66" s="225"/>
      <c r="L66" s="357"/>
      <c r="M66" s="357"/>
      <c r="N66" s="225"/>
      <c r="O66" s="225"/>
      <c r="P66" s="225"/>
      <c r="Q66" s="225"/>
      <c r="R66" s="225"/>
      <c r="S66" s="225"/>
    </row>
    <row r="67" spans="1:19" s="71" customFormat="1" ht="15.5" outlineLevel="1" x14ac:dyDescent="0.3">
      <c r="A67" s="360" t="s">
        <v>14</v>
      </c>
      <c r="B67" s="313" t="s">
        <v>80</v>
      </c>
      <c r="C67" s="361">
        <v>3000</v>
      </c>
      <c r="D67" s="361">
        <v>3500</v>
      </c>
      <c r="E67" s="361">
        <v>3500</v>
      </c>
      <c r="F67" s="361">
        <v>3500</v>
      </c>
      <c r="G67" s="361">
        <v>3500</v>
      </c>
      <c r="H67" s="361">
        <v>3500</v>
      </c>
      <c r="I67" s="361"/>
      <c r="J67" s="362">
        <v>3500</v>
      </c>
      <c r="K67" s="225"/>
      <c r="L67" s="357"/>
      <c r="M67" s="357"/>
      <c r="N67" s="225"/>
      <c r="O67" s="225"/>
      <c r="P67" s="225"/>
      <c r="Q67" s="225"/>
      <c r="R67" s="225"/>
      <c r="S67" s="225"/>
    </row>
    <row r="68" spans="1:19" s="71" customFormat="1" ht="15.5" outlineLevel="1" x14ac:dyDescent="0.3">
      <c r="A68" s="360" t="s">
        <v>15</v>
      </c>
      <c r="B68" s="313" t="s">
        <v>80</v>
      </c>
      <c r="C68" s="361"/>
      <c r="D68" s="361"/>
      <c r="E68" s="361"/>
      <c r="F68" s="361"/>
      <c r="G68" s="361"/>
      <c r="H68" s="361"/>
      <c r="I68" s="361"/>
      <c r="J68" s="362"/>
      <c r="K68" s="84"/>
      <c r="L68" s="357"/>
      <c r="M68" s="357"/>
      <c r="N68" s="225"/>
      <c r="O68" s="225"/>
      <c r="P68" s="225"/>
      <c r="Q68" s="225"/>
      <c r="R68" s="225"/>
      <c r="S68" s="225"/>
    </row>
    <row r="69" spans="1:19" s="71" customFormat="1" ht="3" customHeight="1" outlineLevel="1" x14ac:dyDescent="0.3">
      <c r="A69" s="225"/>
      <c r="B69" s="313"/>
      <c r="C69" s="225"/>
      <c r="D69" s="225"/>
      <c r="E69" s="225"/>
      <c r="F69" s="225"/>
      <c r="G69" s="225"/>
      <c r="H69" s="225"/>
      <c r="I69" s="225"/>
      <c r="J69" s="359"/>
      <c r="K69" s="84"/>
      <c r="L69" s="357"/>
      <c r="M69" s="357"/>
      <c r="N69" s="225"/>
      <c r="O69" s="225"/>
      <c r="P69" s="225"/>
      <c r="Q69" s="225"/>
      <c r="R69" s="225"/>
      <c r="S69" s="225"/>
    </row>
    <row r="70" spans="1:19" s="71" customFormat="1" ht="15.5" outlineLevel="1" x14ac:dyDescent="0.3">
      <c r="A70" s="355" t="s">
        <v>116</v>
      </c>
      <c r="B70" s="313"/>
      <c r="C70" s="225"/>
      <c r="D70" s="225"/>
      <c r="E70" s="225"/>
      <c r="F70" s="225"/>
      <c r="G70" s="225"/>
      <c r="H70" s="225"/>
      <c r="I70" s="225"/>
      <c r="J70" s="359"/>
      <c r="K70" s="225"/>
      <c r="L70" s="357"/>
      <c r="M70" s="357"/>
      <c r="N70" s="225"/>
      <c r="O70" s="225"/>
      <c r="P70" s="225"/>
      <c r="Q70" s="225"/>
      <c r="R70" s="225"/>
      <c r="S70" s="225"/>
    </row>
    <row r="71" spans="1:19" s="71" customFormat="1" ht="15.5" outlineLevel="1" x14ac:dyDescent="0.3">
      <c r="A71" s="360" t="s">
        <v>14</v>
      </c>
      <c r="B71" s="313" t="s">
        <v>109</v>
      </c>
      <c r="C71" s="363">
        <v>0.15</v>
      </c>
      <c r="D71" s="363">
        <v>0.3</v>
      </c>
      <c r="E71" s="363">
        <v>0.3</v>
      </c>
      <c r="F71" s="363">
        <v>0.3</v>
      </c>
      <c r="G71" s="363">
        <v>0.3</v>
      </c>
      <c r="H71" s="363">
        <v>0.4</v>
      </c>
      <c r="I71" s="363"/>
      <c r="J71" s="364">
        <v>0.4</v>
      </c>
      <c r="K71" s="225"/>
      <c r="L71" s="357"/>
      <c r="M71" s="357"/>
      <c r="N71" s="225"/>
      <c r="O71" s="225"/>
      <c r="P71" s="225"/>
      <c r="Q71" s="225"/>
      <c r="R71" s="225"/>
      <c r="S71" s="225"/>
    </row>
    <row r="72" spans="1:19" s="71" customFormat="1" ht="15.5" outlineLevel="1" x14ac:dyDescent="0.3">
      <c r="A72" s="360" t="s">
        <v>15</v>
      </c>
      <c r="B72" s="313" t="s">
        <v>109</v>
      </c>
      <c r="C72" s="363"/>
      <c r="D72" s="363"/>
      <c r="E72" s="363"/>
      <c r="F72" s="363"/>
      <c r="G72" s="363"/>
      <c r="H72" s="363"/>
      <c r="I72" s="363"/>
      <c r="J72" s="364"/>
      <c r="K72" s="225"/>
      <c r="L72" s="357"/>
      <c r="M72" s="357"/>
      <c r="N72" s="225"/>
      <c r="O72" s="225"/>
      <c r="P72" s="225"/>
      <c r="Q72" s="225"/>
      <c r="R72" s="225"/>
      <c r="S72" s="225"/>
    </row>
    <row r="73" spans="1:19" s="3" customFormat="1" ht="4.5" customHeight="1" outlineLevel="1" x14ac:dyDescent="0.3">
      <c r="A73" s="225"/>
      <c r="B73" s="313"/>
      <c r="C73" s="355"/>
      <c r="D73" s="355"/>
      <c r="E73" s="355"/>
      <c r="F73" s="355"/>
      <c r="G73" s="355"/>
      <c r="H73" s="355"/>
      <c r="I73" s="355"/>
      <c r="J73" s="356"/>
      <c r="K73" s="225"/>
      <c r="L73" s="357"/>
      <c r="M73" s="357"/>
      <c r="N73" s="225"/>
      <c r="O73" s="225"/>
      <c r="P73" s="225"/>
      <c r="Q73" s="225"/>
      <c r="R73" s="225"/>
      <c r="S73" s="225"/>
    </row>
    <row r="74" spans="1:19" s="3" customFormat="1" ht="14.15" customHeight="1" outlineLevel="1" x14ac:dyDescent="0.3">
      <c r="A74" s="365" t="s">
        <v>99</v>
      </c>
      <c r="B74" s="366" t="s">
        <v>85</v>
      </c>
      <c r="C74" s="352">
        <f t="shared" ref="C74:J74" si="16">IFERROR(C76*12*C77,"N/A")</f>
        <v>0</v>
      </c>
      <c r="D74" s="352">
        <f t="shared" si="16"/>
        <v>600</v>
      </c>
      <c r="E74" s="352">
        <f t="shared" si="16"/>
        <v>600</v>
      </c>
      <c r="F74" s="352">
        <f t="shared" si="16"/>
        <v>600</v>
      </c>
      <c r="G74" s="352">
        <f t="shared" si="16"/>
        <v>600</v>
      </c>
      <c r="H74" s="352">
        <f t="shared" si="16"/>
        <v>600</v>
      </c>
      <c r="I74" s="352"/>
      <c r="J74" s="367">
        <f t="shared" si="16"/>
        <v>600</v>
      </c>
      <c r="K74" s="352" t="s">
        <v>79</v>
      </c>
      <c r="L74" s="368"/>
      <c r="M74" s="368"/>
      <c r="N74" s="354"/>
      <c r="O74" s="352"/>
      <c r="P74" s="352"/>
      <c r="Q74" s="225"/>
      <c r="R74" s="225"/>
      <c r="S74" s="225"/>
    </row>
    <row r="75" spans="1:19" s="3" customFormat="1" ht="4.5" customHeight="1" outlineLevel="1" x14ac:dyDescent="0.3">
      <c r="A75" s="225"/>
      <c r="B75" s="313"/>
      <c r="C75" s="355"/>
      <c r="D75" s="355"/>
      <c r="E75" s="355"/>
      <c r="F75" s="355"/>
      <c r="G75" s="355"/>
      <c r="H75" s="355"/>
      <c r="I75" s="355"/>
      <c r="J75" s="356"/>
      <c r="K75" s="225"/>
      <c r="L75" s="357"/>
      <c r="M75" s="357"/>
      <c r="N75" s="225"/>
      <c r="O75" s="225"/>
      <c r="P75" s="225"/>
      <c r="Q75" s="225"/>
      <c r="R75" s="225"/>
      <c r="S75" s="225"/>
    </row>
    <row r="76" spans="1:19" s="71" customFormat="1" ht="15.5" outlineLevel="1" x14ac:dyDescent="0.3">
      <c r="A76" s="369" t="s">
        <v>118</v>
      </c>
      <c r="B76" s="313" t="s">
        <v>57</v>
      </c>
      <c r="C76" s="361"/>
      <c r="D76" s="361">
        <v>10000</v>
      </c>
      <c r="E76" s="361">
        <v>10000</v>
      </c>
      <c r="F76" s="361">
        <v>10000</v>
      </c>
      <c r="G76" s="361">
        <v>10000</v>
      </c>
      <c r="H76" s="361">
        <v>10000</v>
      </c>
      <c r="I76" s="361"/>
      <c r="J76" s="362">
        <v>10000</v>
      </c>
      <c r="K76" s="225"/>
      <c r="L76" s="357"/>
      <c r="M76" s="357"/>
      <c r="N76" s="225"/>
      <c r="O76" s="225"/>
      <c r="P76" s="225"/>
      <c r="Q76" s="225"/>
      <c r="R76" s="225"/>
      <c r="S76" s="225"/>
    </row>
    <row r="77" spans="1:19" s="71" customFormat="1" ht="15.5" outlineLevel="1" x14ac:dyDescent="0.3">
      <c r="A77" s="360" t="s">
        <v>133</v>
      </c>
      <c r="B77" s="313" t="s">
        <v>109</v>
      </c>
      <c r="C77" s="370"/>
      <c r="D77" s="370">
        <v>5.0000000000000001E-3</v>
      </c>
      <c r="E77" s="370">
        <v>5.0000000000000001E-3</v>
      </c>
      <c r="F77" s="370">
        <v>5.0000000000000001E-3</v>
      </c>
      <c r="G77" s="370">
        <v>5.0000000000000001E-3</v>
      </c>
      <c r="H77" s="370">
        <v>5.0000000000000001E-3</v>
      </c>
      <c r="I77" s="370"/>
      <c r="J77" s="371">
        <v>5.0000000000000001E-3</v>
      </c>
      <c r="K77" s="225" t="s">
        <v>134</v>
      </c>
      <c r="L77" s="357"/>
      <c r="M77" s="357"/>
      <c r="N77" s="225"/>
      <c r="O77" s="225"/>
      <c r="P77" s="225"/>
      <c r="Q77" s="225"/>
      <c r="R77" s="225"/>
      <c r="S77" s="225"/>
    </row>
    <row r="78" spans="1:19" s="3" customFormat="1" ht="4.5" customHeight="1" outlineLevel="1" x14ac:dyDescent="0.3">
      <c r="A78" s="225"/>
      <c r="B78" s="313"/>
      <c r="C78" s="355"/>
      <c r="D78" s="355"/>
      <c r="E78" s="355"/>
      <c r="F78" s="355"/>
      <c r="G78" s="355"/>
      <c r="H78" s="355"/>
      <c r="I78" s="355"/>
      <c r="J78" s="356"/>
      <c r="K78" s="225"/>
      <c r="L78" s="357"/>
      <c r="M78" s="357"/>
      <c r="N78" s="225"/>
      <c r="O78" s="225"/>
      <c r="P78" s="225"/>
      <c r="Q78" s="225"/>
      <c r="R78" s="225"/>
      <c r="S78" s="225"/>
    </row>
    <row r="79" spans="1:19" s="3" customFormat="1" ht="14.25" customHeight="1" outlineLevel="1" x14ac:dyDescent="0.3">
      <c r="A79" s="365" t="s">
        <v>128</v>
      </c>
      <c r="B79" s="366"/>
      <c r="C79" s="352">
        <f>SUM(C80:C82)</f>
        <v>0</v>
      </c>
      <c r="D79" s="352">
        <f t="shared" ref="D79:J79" si="17">SUM(D80:D82)</f>
        <v>0</v>
      </c>
      <c r="E79" s="352">
        <f t="shared" si="17"/>
        <v>0</v>
      </c>
      <c r="F79" s="352">
        <f t="shared" si="17"/>
        <v>0</v>
      </c>
      <c r="G79" s="352">
        <f t="shared" si="17"/>
        <v>0</v>
      </c>
      <c r="H79" s="352">
        <f t="shared" si="17"/>
        <v>0</v>
      </c>
      <c r="I79" s="352"/>
      <c r="J79" s="352">
        <f t="shared" si="17"/>
        <v>0</v>
      </c>
      <c r="K79" s="352" t="s">
        <v>79</v>
      </c>
      <c r="L79" s="368"/>
      <c r="M79" s="368" t="s">
        <v>98</v>
      </c>
      <c r="N79" s="354"/>
      <c r="O79" s="352"/>
      <c r="P79" s="352"/>
      <c r="Q79" s="225"/>
      <c r="R79" s="225"/>
      <c r="S79" s="225"/>
    </row>
    <row r="80" spans="1:19" s="3" customFormat="1" ht="4.5" customHeight="1" outlineLevel="1" x14ac:dyDescent="0.3">
      <c r="A80" s="225"/>
      <c r="B80" s="313"/>
      <c r="C80" s="355"/>
      <c r="D80" s="355"/>
      <c r="E80" s="355"/>
      <c r="F80" s="355"/>
      <c r="G80" s="355"/>
      <c r="H80" s="355"/>
      <c r="I80" s="355"/>
      <c r="J80" s="356"/>
      <c r="K80" s="225"/>
      <c r="L80" s="357"/>
      <c r="M80" s="357"/>
      <c r="N80" s="225"/>
      <c r="O80" s="225"/>
      <c r="P80" s="225"/>
      <c r="Q80" s="225"/>
      <c r="R80" s="225"/>
      <c r="S80" s="225"/>
    </row>
    <row r="81" spans="1:19" ht="15.5" outlineLevel="1" x14ac:dyDescent="0.35">
      <c r="A81" s="369" t="s">
        <v>33</v>
      </c>
      <c r="B81" s="257" t="s">
        <v>53</v>
      </c>
      <c r="C81" s="372">
        <f>IFERROR(Finanzierung!E170,"N/A")</f>
        <v>0</v>
      </c>
      <c r="D81" s="372">
        <f>IFERROR(Finanzierung!F170,"N/A")</f>
        <v>0</v>
      </c>
      <c r="E81" s="372">
        <f>IFERROR(Finanzierung!G170,"N/A")</f>
        <v>0</v>
      </c>
      <c r="F81" s="372">
        <f>IFERROR(Finanzierung!H170,"N/A")</f>
        <v>0</v>
      </c>
      <c r="G81" s="372">
        <f>IFERROR(Finanzierung!I170,"N/A")</f>
        <v>0</v>
      </c>
      <c r="H81" s="372">
        <f>IFERROR(Finanzierung!J170,"N/A")</f>
        <v>0</v>
      </c>
      <c r="I81" s="372"/>
      <c r="J81" s="373">
        <f>IFERROR(Finanzierung!L170,"N/A")</f>
        <v>0</v>
      </c>
      <c r="K81" s="374" t="s">
        <v>95</v>
      </c>
      <c r="L81" s="375"/>
      <c r="M81" s="375"/>
      <c r="N81" s="14"/>
      <c r="O81" s="14"/>
      <c r="P81" s="14"/>
      <c r="Q81" s="14"/>
      <c r="R81" s="14"/>
      <c r="S81" s="14"/>
    </row>
    <row r="82" spans="1:19" ht="15.5" outlineLevel="1" x14ac:dyDescent="0.35">
      <c r="A82" s="369" t="s">
        <v>132</v>
      </c>
      <c r="B82" s="257" t="s">
        <v>53</v>
      </c>
      <c r="C82" s="361"/>
      <c r="D82" s="361"/>
      <c r="E82" s="361"/>
      <c r="F82" s="361"/>
      <c r="G82" s="361"/>
      <c r="H82" s="361"/>
      <c r="I82" s="361"/>
      <c r="J82" s="362"/>
      <c r="K82" s="374"/>
      <c r="L82" s="375"/>
      <c r="M82" s="375"/>
      <c r="N82" s="14"/>
      <c r="O82" s="14"/>
      <c r="P82" s="14"/>
      <c r="Q82" s="14"/>
      <c r="R82" s="14"/>
      <c r="S82" s="14"/>
    </row>
    <row r="83" spans="1:19" s="3" customFormat="1" ht="4.5" customHeight="1" outlineLevel="1" x14ac:dyDescent="0.3">
      <c r="A83" s="225"/>
      <c r="B83" s="313"/>
      <c r="C83" s="355"/>
      <c r="D83" s="355"/>
      <c r="E83" s="355"/>
      <c r="F83" s="355"/>
      <c r="G83" s="355"/>
      <c r="H83" s="355"/>
      <c r="I83" s="355"/>
      <c r="J83" s="356"/>
      <c r="K83" s="225"/>
      <c r="L83" s="357"/>
      <c r="M83" s="357"/>
      <c r="N83" s="225"/>
      <c r="O83" s="225"/>
      <c r="P83" s="225"/>
      <c r="Q83" s="225"/>
      <c r="R83" s="225"/>
      <c r="S83" s="225"/>
    </row>
    <row r="84" spans="1:19" s="3" customFormat="1" ht="14.25" customHeight="1" outlineLevel="1" x14ac:dyDescent="0.3">
      <c r="A84" s="365" t="s">
        <v>150</v>
      </c>
      <c r="B84" s="366" t="s">
        <v>53</v>
      </c>
      <c r="C84" s="352">
        <f t="shared" ref="C84:J84" si="18">IFERROR(C86*C87,"N/A")</f>
        <v>0</v>
      </c>
      <c r="D84" s="352">
        <f t="shared" si="18"/>
        <v>1000</v>
      </c>
      <c r="E84" s="352">
        <f t="shared" si="18"/>
        <v>1000</v>
      </c>
      <c r="F84" s="352">
        <f t="shared" si="18"/>
        <v>1000</v>
      </c>
      <c r="G84" s="352">
        <f t="shared" si="18"/>
        <v>1000</v>
      </c>
      <c r="H84" s="352">
        <f t="shared" si="18"/>
        <v>1000</v>
      </c>
      <c r="I84" s="352"/>
      <c r="J84" s="367">
        <f t="shared" si="18"/>
        <v>1000</v>
      </c>
      <c r="K84" s="352" t="s">
        <v>79</v>
      </c>
      <c r="L84" s="368"/>
      <c r="M84" s="368"/>
      <c r="N84" s="354"/>
      <c r="O84" s="352"/>
      <c r="P84" s="352"/>
      <c r="Q84" s="225"/>
      <c r="R84" s="225"/>
      <c r="S84" s="225"/>
    </row>
    <row r="85" spans="1:19" s="3" customFormat="1" ht="4.5" customHeight="1" outlineLevel="1" x14ac:dyDescent="0.3">
      <c r="A85" s="225"/>
      <c r="B85" s="313"/>
      <c r="C85" s="355"/>
      <c r="D85" s="355"/>
      <c r="E85" s="355"/>
      <c r="F85" s="355"/>
      <c r="G85" s="355"/>
      <c r="H85" s="355"/>
      <c r="I85" s="355"/>
      <c r="J85" s="356"/>
      <c r="K85" s="225"/>
      <c r="L85" s="357"/>
      <c r="M85" s="357"/>
      <c r="N85" s="225"/>
      <c r="O85" s="225"/>
      <c r="P85" s="225"/>
      <c r="Q85" s="225"/>
      <c r="R85" s="225"/>
      <c r="S85" s="225"/>
    </row>
    <row r="86" spans="1:19" s="71" customFormat="1" ht="15.5" outlineLevel="1" x14ac:dyDescent="0.3">
      <c r="A86" s="369" t="s">
        <v>110</v>
      </c>
      <c r="B86" s="313" t="s">
        <v>53</v>
      </c>
      <c r="C86" s="361"/>
      <c r="D86" s="361">
        <v>10000</v>
      </c>
      <c r="E86" s="361">
        <v>10000</v>
      </c>
      <c r="F86" s="361">
        <v>10000</v>
      </c>
      <c r="G86" s="361">
        <v>10000</v>
      </c>
      <c r="H86" s="361">
        <v>10000</v>
      </c>
      <c r="I86" s="361"/>
      <c r="J86" s="362">
        <v>10000</v>
      </c>
      <c r="K86" s="225"/>
      <c r="L86" s="357"/>
      <c r="M86" s="357"/>
      <c r="N86" s="225"/>
      <c r="O86" s="225"/>
      <c r="P86" s="225"/>
      <c r="Q86" s="225"/>
      <c r="R86" s="225"/>
      <c r="S86" s="225"/>
    </row>
    <row r="87" spans="1:19" s="71" customFormat="1" ht="15.5" outlineLevel="1" x14ac:dyDescent="0.3">
      <c r="A87" s="360" t="s">
        <v>109</v>
      </c>
      <c r="B87" s="313" t="s">
        <v>109</v>
      </c>
      <c r="C87" s="363"/>
      <c r="D87" s="363">
        <v>0.1</v>
      </c>
      <c r="E87" s="363">
        <v>0.1</v>
      </c>
      <c r="F87" s="363">
        <v>0.1</v>
      </c>
      <c r="G87" s="363">
        <v>0.1</v>
      </c>
      <c r="H87" s="363">
        <v>0.1</v>
      </c>
      <c r="I87" s="363"/>
      <c r="J87" s="364">
        <v>0.1</v>
      </c>
      <c r="K87" s="225" t="s">
        <v>134</v>
      </c>
      <c r="L87" s="357"/>
      <c r="M87" s="357"/>
      <c r="N87" s="225"/>
      <c r="O87" s="225"/>
      <c r="P87" s="225"/>
      <c r="Q87" s="225"/>
      <c r="R87" s="225"/>
      <c r="S87" s="225"/>
    </row>
    <row r="88" spans="1:19" s="3" customFormat="1" ht="4.5" customHeight="1" outlineLevel="1" x14ac:dyDescent="0.3">
      <c r="A88" s="225"/>
      <c r="B88" s="313"/>
      <c r="C88" s="355"/>
      <c r="D88" s="355"/>
      <c r="E88" s="355"/>
      <c r="F88" s="355"/>
      <c r="G88" s="355"/>
      <c r="H88" s="355"/>
      <c r="I88" s="355"/>
      <c r="J88" s="356"/>
      <c r="K88" s="225"/>
      <c r="L88" s="357"/>
      <c r="M88" s="357"/>
      <c r="N88" s="225"/>
      <c r="O88" s="225"/>
      <c r="P88" s="225"/>
      <c r="Q88" s="225"/>
      <c r="R88" s="225"/>
      <c r="S88" s="225"/>
    </row>
    <row r="89" spans="1:19" s="3" customFormat="1" ht="14.25" customHeight="1" outlineLevel="1" x14ac:dyDescent="0.3">
      <c r="A89" s="365" t="s">
        <v>288</v>
      </c>
      <c r="B89" s="366" t="s">
        <v>53</v>
      </c>
      <c r="C89" s="352">
        <f t="shared" ref="C89:J89" si="19">IFERROR(C91*C92,"N/A")</f>
        <v>0</v>
      </c>
      <c r="D89" s="352">
        <f t="shared" si="19"/>
        <v>1000</v>
      </c>
      <c r="E89" s="352">
        <f t="shared" si="19"/>
        <v>1000</v>
      </c>
      <c r="F89" s="352">
        <f t="shared" si="19"/>
        <v>1000</v>
      </c>
      <c r="G89" s="352">
        <f t="shared" si="19"/>
        <v>1000</v>
      </c>
      <c r="H89" s="352">
        <f t="shared" si="19"/>
        <v>1000</v>
      </c>
      <c r="I89" s="352"/>
      <c r="J89" s="367">
        <f t="shared" si="19"/>
        <v>1000</v>
      </c>
      <c r="K89" s="352" t="s">
        <v>79</v>
      </c>
      <c r="L89" s="368"/>
      <c r="M89" s="368"/>
      <c r="N89" s="354"/>
      <c r="O89" s="352"/>
      <c r="P89" s="352"/>
      <c r="Q89" s="225"/>
      <c r="R89" s="225"/>
      <c r="S89" s="225"/>
    </row>
    <row r="90" spans="1:19" s="3" customFormat="1" ht="4.5" customHeight="1" outlineLevel="1" x14ac:dyDescent="0.3">
      <c r="A90" s="225"/>
      <c r="B90" s="313"/>
      <c r="C90" s="355"/>
      <c r="D90" s="355"/>
      <c r="E90" s="355"/>
      <c r="F90" s="355"/>
      <c r="G90" s="355"/>
      <c r="H90" s="355"/>
      <c r="I90" s="355"/>
      <c r="J90" s="356"/>
      <c r="K90" s="225"/>
      <c r="L90" s="357"/>
      <c r="M90" s="357"/>
      <c r="N90" s="225"/>
      <c r="O90" s="225"/>
      <c r="P90" s="225"/>
      <c r="Q90" s="225"/>
      <c r="R90" s="225"/>
      <c r="S90" s="225"/>
    </row>
    <row r="91" spans="1:19" s="71" customFormat="1" ht="15.5" outlineLevel="1" x14ac:dyDescent="0.3">
      <c r="A91" s="369" t="s">
        <v>110</v>
      </c>
      <c r="B91" s="313" t="s">
        <v>53</v>
      </c>
      <c r="C91" s="361"/>
      <c r="D91" s="361">
        <v>10000</v>
      </c>
      <c r="E91" s="361">
        <v>10000</v>
      </c>
      <c r="F91" s="361">
        <v>10000</v>
      </c>
      <c r="G91" s="361">
        <v>10000</v>
      </c>
      <c r="H91" s="361">
        <v>10000</v>
      </c>
      <c r="I91" s="361"/>
      <c r="J91" s="362">
        <v>10000</v>
      </c>
      <c r="K91" s="225"/>
      <c r="L91" s="357"/>
      <c r="M91" s="357"/>
      <c r="N91" s="225"/>
      <c r="O91" s="225"/>
      <c r="P91" s="225"/>
      <c r="Q91" s="225"/>
      <c r="R91" s="225"/>
      <c r="S91" s="225"/>
    </row>
    <row r="92" spans="1:19" s="71" customFormat="1" ht="15.5" outlineLevel="1" x14ac:dyDescent="0.3">
      <c r="A92" s="360" t="s">
        <v>109</v>
      </c>
      <c r="B92" s="313" t="s">
        <v>109</v>
      </c>
      <c r="C92" s="363"/>
      <c r="D92" s="363">
        <v>0.1</v>
      </c>
      <c r="E92" s="363">
        <v>0.1</v>
      </c>
      <c r="F92" s="363">
        <v>0.1</v>
      </c>
      <c r="G92" s="363">
        <v>0.1</v>
      </c>
      <c r="H92" s="363">
        <v>0.1</v>
      </c>
      <c r="I92" s="363"/>
      <c r="J92" s="364">
        <v>0.1</v>
      </c>
      <c r="K92" s="225" t="s">
        <v>134</v>
      </c>
      <c r="L92" s="357"/>
      <c r="M92" s="357"/>
      <c r="N92" s="225"/>
      <c r="O92" s="225"/>
      <c r="P92" s="225"/>
      <c r="Q92" s="225"/>
      <c r="R92" s="225"/>
      <c r="S92" s="225"/>
    </row>
    <row r="93" spans="1:19" s="3" customFormat="1" ht="4.5" customHeight="1" outlineLevel="1" x14ac:dyDescent="0.3">
      <c r="A93" s="225"/>
      <c r="B93" s="313"/>
      <c r="C93" s="355"/>
      <c r="D93" s="355"/>
      <c r="E93" s="355"/>
      <c r="F93" s="355"/>
      <c r="G93" s="355"/>
      <c r="H93" s="355"/>
      <c r="I93" s="355"/>
      <c r="J93" s="356"/>
      <c r="K93" s="225"/>
      <c r="L93" s="357"/>
      <c r="M93" s="357"/>
      <c r="N93" s="225"/>
      <c r="O93" s="225"/>
      <c r="P93" s="225"/>
      <c r="Q93" s="225"/>
      <c r="R93" s="225"/>
      <c r="S93" s="225"/>
    </row>
    <row r="94" spans="1:19" s="3" customFormat="1" ht="14.25" customHeight="1" outlineLevel="1" x14ac:dyDescent="0.3">
      <c r="A94" s="365" t="s">
        <v>127</v>
      </c>
      <c r="B94" s="366"/>
      <c r="C94" s="376">
        <f>SUM(C96:C97)</f>
        <v>0</v>
      </c>
      <c r="D94" s="376">
        <f t="shared" ref="D94:J94" si="20">SUM(D96:D97)</f>
        <v>0</v>
      </c>
      <c r="E94" s="376">
        <f t="shared" si="20"/>
        <v>0</v>
      </c>
      <c r="F94" s="376">
        <f t="shared" si="20"/>
        <v>0</v>
      </c>
      <c r="G94" s="376">
        <f t="shared" si="20"/>
        <v>0</v>
      </c>
      <c r="H94" s="376">
        <f t="shared" si="20"/>
        <v>0</v>
      </c>
      <c r="I94" s="376"/>
      <c r="J94" s="376">
        <f t="shared" si="20"/>
        <v>0</v>
      </c>
      <c r="K94" s="352" t="s">
        <v>79</v>
      </c>
      <c r="L94" s="368"/>
      <c r="M94" s="368" t="s">
        <v>98</v>
      </c>
      <c r="N94" s="354"/>
      <c r="O94" s="352"/>
      <c r="P94" s="352"/>
      <c r="Q94" s="225"/>
      <c r="R94" s="225"/>
      <c r="S94" s="225"/>
    </row>
    <row r="95" spans="1:19" s="3" customFormat="1" ht="4.5" customHeight="1" outlineLevel="1" x14ac:dyDescent="0.3">
      <c r="A95" s="225"/>
      <c r="B95" s="313"/>
      <c r="C95" s="355"/>
      <c r="D95" s="355"/>
      <c r="E95" s="355"/>
      <c r="F95" s="355"/>
      <c r="G95" s="355"/>
      <c r="H95" s="355"/>
      <c r="I95" s="355"/>
      <c r="J95" s="356"/>
      <c r="K95" s="225"/>
      <c r="L95" s="357"/>
      <c r="M95" s="357"/>
      <c r="N95" s="225"/>
      <c r="O95" s="225"/>
      <c r="P95" s="225"/>
      <c r="Q95" s="225"/>
      <c r="R95" s="225"/>
      <c r="S95" s="225"/>
    </row>
    <row r="96" spans="1:19" ht="15.5" outlineLevel="1" x14ac:dyDescent="0.35">
      <c r="A96" s="355"/>
      <c r="B96" s="257" t="s">
        <v>53</v>
      </c>
      <c r="C96" s="377"/>
      <c r="D96" s="377"/>
      <c r="E96" s="377"/>
      <c r="F96" s="377"/>
      <c r="G96" s="377"/>
      <c r="H96" s="377"/>
      <c r="I96" s="377"/>
      <c r="J96" s="378"/>
      <c r="K96" s="374"/>
      <c r="L96" s="375"/>
      <c r="M96" s="375"/>
      <c r="N96" s="14"/>
      <c r="O96" s="14"/>
      <c r="P96" s="14"/>
      <c r="Q96" s="14"/>
      <c r="R96" s="14"/>
      <c r="S96" s="14"/>
    </row>
    <row r="97" spans="1:19" ht="15.5" outlineLevel="1" x14ac:dyDescent="0.35">
      <c r="A97" s="355"/>
      <c r="B97" s="257" t="s">
        <v>53</v>
      </c>
      <c r="C97" s="377"/>
      <c r="D97" s="377"/>
      <c r="E97" s="377"/>
      <c r="F97" s="377"/>
      <c r="G97" s="377"/>
      <c r="H97" s="377"/>
      <c r="I97" s="377"/>
      <c r="J97" s="378"/>
      <c r="K97" s="374"/>
      <c r="L97" s="375"/>
      <c r="M97" s="375"/>
      <c r="N97" s="14"/>
      <c r="O97" s="14"/>
      <c r="P97" s="14"/>
      <c r="Q97" s="14"/>
      <c r="R97" s="14"/>
      <c r="S97" s="14"/>
    </row>
    <row r="98" spans="1:19" s="3" customFormat="1" ht="4.5" customHeight="1" outlineLevel="1" x14ac:dyDescent="0.3">
      <c r="A98" s="225"/>
      <c r="B98" s="313"/>
      <c r="C98" s="355"/>
      <c r="D98" s="355"/>
      <c r="E98" s="355"/>
      <c r="F98" s="355"/>
      <c r="G98" s="355"/>
      <c r="H98" s="355"/>
      <c r="I98" s="355"/>
      <c r="J98" s="356"/>
      <c r="K98" s="225"/>
      <c r="L98" s="357"/>
      <c r="M98" s="357"/>
      <c r="N98" s="225"/>
      <c r="O98" s="225"/>
      <c r="P98" s="225"/>
      <c r="Q98" s="225"/>
      <c r="R98" s="225"/>
      <c r="S98" s="225"/>
    </row>
    <row r="99" spans="1:19" s="3" customFormat="1" ht="14.25" customHeight="1" outlineLevel="1" x14ac:dyDescent="0.3">
      <c r="A99" s="365" t="s">
        <v>135</v>
      </c>
      <c r="B99" s="366" t="s">
        <v>81</v>
      </c>
      <c r="C99" s="352">
        <f>IFERROR(C101*C100,"N/A")</f>
        <v>0</v>
      </c>
      <c r="D99" s="352">
        <f>IFERROR(D101*D100,"N/A")</f>
        <v>600</v>
      </c>
      <c r="E99" s="352">
        <f t="shared" ref="E99:J99" si="21">IFERROR(E101*E100,"N/A")</f>
        <v>600</v>
      </c>
      <c r="F99" s="352">
        <f t="shared" si="21"/>
        <v>600</v>
      </c>
      <c r="G99" s="352">
        <f t="shared" si="21"/>
        <v>600</v>
      </c>
      <c r="H99" s="352">
        <f t="shared" si="21"/>
        <v>600</v>
      </c>
      <c r="I99" s="352"/>
      <c r="J99" s="367">
        <f t="shared" si="21"/>
        <v>600</v>
      </c>
      <c r="K99" s="352" t="s">
        <v>79</v>
      </c>
      <c r="L99" s="368"/>
      <c r="M99" s="368"/>
      <c r="N99" s="354"/>
      <c r="O99" s="352"/>
      <c r="P99" s="352"/>
      <c r="Q99" s="225"/>
      <c r="R99" s="225"/>
      <c r="S99" s="225"/>
    </row>
    <row r="100" spans="1:19" s="71" customFormat="1" ht="15.5" outlineLevel="1" x14ac:dyDescent="0.3">
      <c r="A100" s="369" t="s">
        <v>110</v>
      </c>
      <c r="B100" s="313" t="s">
        <v>81</v>
      </c>
      <c r="C100" s="361"/>
      <c r="D100" s="361">
        <f t="shared" ref="D100:J100" si="22">12*500</f>
        <v>6000</v>
      </c>
      <c r="E100" s="361">
        <f t="shared" si="22"/>
        <v>6000</v>
      </c>
      <c r="F100" s="361">
        <f t="shared" si="22"/>
        <v>6000</v>
      </c>
      <c r="G100" s="361">
        <f t="shared" si="22"/>
        <v>6000</v>
      </c>
      <c r="H100" s="361">
        <f t="shared" si="22"/>
        <v>6000</v>
      </c>
      <c r="I100" s="361"/>
      <c r="J100" s="362">
        <f t="shared" si="22"/>
        <v>6000</v>
      </c>
      <c r="K100" s="225"/>
      <c r="L100" s="357"/>
      <c r="M100" s="357"/>
      <c r="N100" s="225"/>
      <c r="O100" s="225"/>
      <c r="P100" s="225"/>
      <c r="Q100" s="225"/>
      <c r="R100" s="225"/>
      <c r="S100" s="225"/>
    </row>
    <row r="101" spans="1:19" s="71" customFormat="1" ht="15.5" outlineLevel="1" x14ac:dyDescent="0.3">
      <c r="A101" s="360" t="s">
        <v>133</v>
      </c>
      <c r="B101" s="313" t="s">
        <v>109</v>
      </c>
      <c r="C101" s="363"/>
      <c r="D101" s="363">
        <v>0.1</v>
      </c>
      <c r="E101" s="363">
        <v>0.1</v>
      </c>
      <c r="F101" s="363">
        <v>0.1</v>
      </c>
      <c r="G101" s="363">
        <v>0.1</v>
      </c>
      <c r="H101" s="363">
        <v>0.1</v>
      </c>
      <c r="I101" s="363"/>
      <c r="J101" s="364">
        <v>0.1</v>
      </c>
      <c r="K101" s="225" t="s">
        <v>134</v>
      </c>
      <c r="L101" s="357"/>
      <c r="M101" s="357"/>
      <c r="N101" s="225"/>
      <c r="O101" s="225"/>
      <c r="P101" s="225"/>
      <c r="Q101" s="225"/>
      <c r="R101" s="225"/>
      <c r="S101" s="225"/>
    </row>
    <row r="102" spans="1:19" s="3" customFormat="1" ht="4.5" customHeight="1" outlineLevel="1" x14ac:dyDescent="0.3">
      <c r="A102" s="225"/>
      <c r="B102" s="313"/>
      <c r="C102" s="355"/>
      <c r="D102" s="355"/>
      <c r="E102" s="355"/>
      <c r="F102" s="355"/>
      <c r="G102" s="355"/>
      <c r="H102" s="355"/>
      <c r="I102" s="355"/>
      <c r="J102" s="356"/>
      <c r="K102" s="225"/>
      <c r="L102" s="357"/>
      <c r="M102" s="357"/>
      <c r="N102" s="225"/>
      <c r="O102" s="225"/>
      <c r="P102" s="225"/>
      <c r="Q102" s="225"/>
      <c r="R102" s="225"/>
      <c r="S102" s="225"/>
    </row>
    <row r="103" spans="1:19" s="3" customFormat="1" ht="14.25" customHeight="1" outlineLevel="1" x14ac:dyDescent="0.3">
      <c r="A103" s="365" t="s">
        <v>8</v>
      </c>
      <c r="B103" s="366" t="s">
        <v>53</v>
      </c>
      <c r="C103" s="376">
        <f>C105+C109+C112+C114</f>
        <v>0</v>
      </c>
      <c r="D103" s="376">
        <f>D105+D109+D112+D114</f>
        <v>2550</v>
      </c>
      <c r="E103" s="376">
        <f t="shared" ref="E103:J103" si="23">E105+E109+E112+E114</f>
        <v>2550</v>
      </c>
      <c r="F103" s="376">
        <f t="shared" si="23"/>
        <v>2250</v>
      </c>
      <c r="G103" s="376">
        <f t="shared" si="23"/>
        <v>2100</v>
      </c>
      <c r="H103" s="376">
        <f t="shared" si="23"/>
        <v>2150</v>
      </c>
      <c r="I103" s="376"/>
      <c r="J103" s="376">
        <f t="shared" si="23"/>
        <v>2150</v>
      </c>
      <c r="K103" s="352" t="s">
        <v>79</v>
      </c>
      <c r="L103" s="368"/>
      <c r="M103" s="368"/>
      <c r="N103" s="354"/>
      <c r="O103" s="352"/>
      <c r="P103" s="352"/>
      <c r="Q103" s="225"/>
      <c r="R103" s="225"/>
      <c r="S103" s="225"/>
    </row>
    <row r="104" spans="1:19" s="3" customFormat="1" ht="4.5" customHeight="1" outlineLevel="1" x14ac:dyDescent="0.3">
      <c r="A104" s="225"/>
      <c r="B104" s="313"/>
      <c r="C104" s="355"/>
      <c r="D104" s="355"/>
      <c r="E104" s="355"/>
      <c r="F104" s="355"/>
      <c r="G104" s="355"/>
      <c r="H104" s="355"/>
      <c r="I104" s="355"/>
      <c r="J104" s="356"/>
      <c r="K104" s="225"/>
      <c r="L104" s="357"/>
      <c r="M104" s="357"/>
      <c r="N104" s="225"/>
      <c r="O104" s="225"/>
      <c r="P104" s="225"/>
      <c r="Q104" s="225"/>
      <c r="R104" s="225"/>
      <c r="S104" s="225"/>
    </row>
    <row r="105" spans="1:19" s="71" customFormat="1" ht="15.5" outlineLevel="1" x14ac:dyDescent="0.3">
      <c r="A105" s="379" t="s">
        <v>130</v>
      </c>
      <c r="B105" s="313"/>
      <c r="C105" s="380">
        <f>C106*C107</f>
        <v>0</v>
      </c>
      <c r="D105" s="380">
        <f t="shared" ref="D105:J105" si="24">D106*D107</f>
        <v>150</v>
      </c>
      <c r="E105" s="380">
        <f t="shared" si="24"/>
        <v>150</v>
      </c>
      <c r="F105" s="380">
        <f t="shared" si="24"/>
        <v>150</v>
      </c>
      <c r="G105" s="380">
        <f t="shared" si="24"/>
        <v>150</v>
      </c>
      <c r="H105" s="380">
        <f t="shared" si="24"/>
        <v>200</v>
      </c>
      <c r="I105" s="380"/>
      <c r="J105" s="381">
        <f t="shared" si="24"/>
        <v>200</v>
      </c>
      <c r="K105" s="225"/>
      <c r="L105" s="357"/>
      <c r="M105" s="357"/>
      <c r="N105" s="225"/>
      <c r="O105" s="225"/>
      <c r="P105" s="225"/>
      <c r="Q105" s="225"/>
      <c r="R105" s="225"/>
      <c r="S105" s="225"/>
    </row>
    <row r="106" spans="1:19" s="71" customFormat="1" ht="15.5" outlineLevel="1" x14ac:dyDescent="0.3">
      <c r="A106" s="360" t="s">
        <v>119</v>
      </c>
      <c r="B106" s="313" t="s">
        <v>100</v>
      </c>
      <c r="C106" s="361"/>
      <c r="D106" s="361">
        <v>500</v>
      </c>
      <c r="E106" s="361">
        <v>500</v>
      </c>
      <c r="F106" s="361">
        <v>500</v>
      </c>
      <c r="G106" s="361">
        <v>500</v>
      </c>
      <c r="H106" s="361">
        <v>500</v>
      </c>
      <c r="I106" s="361"/>
      <c r="J106" s="362">
        <v>500</v>
      </c>
      <c r="K106" s="225"/>
      <c r="L106" s="357"/>
      <c r="M106" s="357"/>
      <c r="N106" s="225"/>
      <c r="O106" s="225"/>
      <c r="P106" s="225"/>
      <c r="Q106" s="225"/>
      <c r="R106" s="225"/>
      <c r="S106" s="225"/>
    </row>
    <row r="107" spans="1:19" s="71" customFormat="1" ht="15.5" outlineLevel="1" x14ac:dyDescent="0.3">
      <c r="A107" s="360" t="s">
        <v>120</v>
      </c>
      <c r="B107" s="313" t="s">
        <v>101</v>
      </c>
      <c r="C107" s="382"/>
      <c r="D107" s="382">
        <f t="shared" ref="D107:J107" si="25">SUM(D71:D72)</f>
        <v>0.3</v>
      </c>
      <c r="E107" s="382">
        <f t="shared" si="25"/>
        <v>0.3</v>
      </c>
      <c r="F107" s="382">
        <f t="shared" si="25"/>
        <v>0.3</v>
      </c>
      <c r="G107" s="382">
        <f t="shared" si="25"/>
        <v>0.3</v>
      </c>
      <c r="H107" s="382">
        <f t="shared" si="25"/>
        <v>0.4</v>
      </c>
      <c r="I107" s="382"/>
      <c r="J107" s="383">
        <f t="shared" si="25"/>
        <v>0.4</v>
      </c>
      <c r="K107" s="225"/>
      <c r="L107" s="357"/>
      <c r="M107" s="357"/>
      <c r="N107" s="225"/>
      <c r="O107" s="225"/>
      <c r="P107" s="225"/>
      <c r="Q107" s="225"/>
      <c r="R107" s="225"/>
      <c r="S107" s="225"/>
    </row>
    <row r="108" spans="1:19" s="71" customFormat="1" ht="15.5" outlineLevel="1" x14ac:dyDescent="0.3">
      <c r="A108" s="225"/>
      <c r="B108" s="313"/>
      <c r="C108" s="380"/>
      <c r="D108" s="380"/>
      <c r="E108" s="380"/>
      <c r="F108" s="380"/>
      <c r="G108" s="380"/>
      <c r="H108" s="380"/>
      <c r="I108" s="380"/>
      <c r="J108" s="381"/>
      <c r="K108" s="225"/>
      <c r="L108" s="357"/>
      <c r="M108" s="357"/>
      <c r="N108" s="225"/>
      <c r="O108" s="225"/>
      <c r="P108" s="225"/>
      <c r="Q108" s="225"/>
      <c r="R108" s="225"/>
      <c r="S108" s="225"/>
    </row>
    <row r="109" spans="1:19" s="71" customFormat="1" ht="15.5" outlineLevel="1" x14ac:dyDescent="0.3">
      <c r="A109" s="379" t="s">
        <v>16</v>
      </c>
      <c r="B109" s="313"/>
      <c r="C109" s="380">
        <f t="shared" ref="C109:J109" si="26">C110*12</f>
        <v>0</v>
      </c>
      <c r="D109" s="380">
        <f>D110*12</f>
        <v>1200</v>
      </c>
      <c r="E109" s="380">
        <f t="shared" si="26"/>
        <v>1200</v>
      </c>
      <c r="F109" s="380">
        <f t="shared" si="26"/>
        <v>1200</v>
      </c>
      <c r="G109" s="380">
        <f t="shared" si="26"/>
        <v>1200</v>
      </c>
      <c r="H109" s="380">
        <f t="shared" si="26"/>
        <v>1200</v>
      </c>
      <c r="I109" s="380"/>
      <c r="J109" s="381">
        <f t="shared" si="26"/>
        <v>1200</v>
      </c>
      <c r="K109" s="374"/>
      <c r="L109" s="357"/>
      <c r="M109" s="357"/>
      <c r="N109" s="225"/>
      <c r="O109" s="225"/>
      <c r="P109" s="225"/>
      <c r="Q109" s="225"/>
      <c r="R109" s="225"/>
      <c r="S109" s="225"/>
    </row>
    <row r="110" spans="1:19" s="71" customFormat="1" ht="15.5" outlineLevel="1" x14ac:dyDescent="0.3">
      <c r="A110" s="225" t="s">
        <v>18</v>
      </c>
      <c r="B110" s="313" t="s">
        <v>80</v>
      </c>
      <c r="C110" s="361">
        <v>0</v>
      </c>
      <c r="D110" s="361">
        <v>100</v>
      </c>
      <c r="E110" s="361">
        <v>100</v>
      </c>
      <c r="F110" s="361">
        <v>100</v>
      </c>
      <c r="G110" s="361">
        <v>100</v>
      </c>
      <c r="H110" s="361">
        <v>100</v>
      </c>
      <c r="I110" s="361"/>
      <c r="J110" s="362">
        <v>100</v>
      </c>
      <c r="K110" s="225"/>
      <c r="L110" s="357"/>
      <c r="M110" s="357"/>
      <c r="N110" s="225"/>
      <c r="O110" s="225"/>
      <c r="P110" s="225"/>
      <c r="Q110" s="225"/>
      <c r="R110" s="225"/>
      <c r="S110" s="225"/>
    </row>
    <row r="111" spans="1:19" s="71" customFormat="1" ht="15.5" outlineLevel="1" x14ac:dyDescent="0.3">
      <c r="A111" s="225"/>
      <c r="B111" s="313"/>
      <c r="C111" s="225"/>
      <c r="D111" s="225"/>
      <c r="E111" s="225"/>
      <c r="F111" s="225"/>
      <c r="G111" s="225"/>
      <c r="H111" s="225"/>
      <c r="I111" s="225"/>
      <c r="J111" s="359"/>
      <c r="K111" s="225"/>
      <c r="L111" s="357"/>
      <c r="M111" s="357"/>
      <c r="N111" s="225"/>
      <c r="O111" s="225"/>
      <c r="P111" s="225"/>
      <c r="Q111" s="225"/>
      <c r="R111" s="225"/>
      <c r="S111" s="225"/>
    </row>
    <row r="112" spans="1:19" s="71" customFormat="1" ht="15.5" outlineLevel="1" x14ac:dyDescent="0.3">
      <c r="A112" s="355" t="s">
        <v>36</v>
      </c>
      <c r="B112" s="313" t="s">
        <v>85</v>
      </c>
      <c r="C112" s="380">
        <v>0</v>
      </c>
      <c r="D112" s="380">
        <v>300</v>
      </c>
      <c r="E112" s="380">
        <v>300</v>
      </c>
      <c r="F112" s="380">
        <v>300</v>
      </c>
      <c r="G112" s="380">
        <v>300</v>
      </c>
      <c r="H112" s="380">
        <v>300</v>
      </c>
      <c r="I112" s="380"/>
      <c r="J112" s="381">
        <v>300</v>
      </c>
      <c r="K112" s="225"/>
      <c r="L112" s="357"/>
      <c r="M112" s="357"/>
      <c r="N112" s="225"/>
      <c r="O112" s="225"/>
      <c r="P112" s="225"/>
      <c r="Q112" s="225"/>
      <c r="R112" s="225"/>
      <c r="S112" s="225"/>
    </row>
    <row r="113" spans="1:19" s="71" customFormat="1" ht="15.5" outlineLevel="1" x14ac:dyDescent="0.3">
      <c r="A113" s="225"/>
      <c r="B113" s="313"/>
      <c r="C113" s="384"/>
      <c r="D113" s="384"/>
      <c r="E113" s="384"/>
      <c r="F113" s="384"/>
      <c r="G113" s="384"/>
      <c r="H113" s="384"/>
      <c r="I113" s="384"/>
      <c r="J113" s="385"/>
      <c r="K113" s="225"/>
      <c r="L113" s="357"/>
      <c r="M113" s="357"/>
      <c r="N113" s="225"/>
      <c r="O113" s="225"/>
      <c r="P113" s="225"/>
      <c r="Q113" s="225"/>
      <c r="R113" s="225"/>
      <c r="S113" s="225"/>
    </row>
    <row r="114" spans="1:19" s="71" customFormat="1" ht="15.5" outlineLevel="1" x14ac:dyDescent="0.3">
      <c r="A114" s="355" t="s">
        <v>37</v>
      </c>
      <c r="B114" s="313"/>
      <c r="C114" s="380">
        <f t="shared" ref="C114:J114" si="27">IFERROR(C115+C119,"N/A")</f>
        <v>0</v>
      </c>
      <c r="D114" s="380">
        <f t="shared" si="27"/>
        <v>900</v>
      </c>
      <c r="E114" s="380">
        <f t="shared" si="27"/>
        <v>900</v>
      </c>
      <c r="F114" s="380">
        <f t="shared" si="27"/>
        <v>600</v>
      </c>
      <c r="G114" s="380">
        <f t="shared" si="27"/>
        <v>450</v>
      </c>
      <c r="H114" s="380">
        <f t="shared" si="27"/>
        <v>450</v>
      </c>
      <c r="I114" s="380"/>
      <c r="J114" s="381">
        <f t="shared" si="27"/>
        <v>450</v>
      </c>
      <c r="K114" s="374"/>
      <c r="L114" s="357" t="s">
        <v>126</v>
      </c>
      <c r="M114" s="357"/>
      <c r="N114" s="225"/>
      <c r="O114" s="225"/>
      <c r="P114" s="225"/>
      <c r="Q114" s="225"/>
      <c r="R114" s="225"/>
      <c r="S114" s="225"/>
    </row>
    <row r="115" spans="1:19" s="71" customFormat="1" ht="15.5" outlineLevel="1" x14ac:dyDescent="0.35">
      <c r="A115" s="360" t="s">
        <v>43</v>
      </c>
      <c r="B115" s="313"/>
      <c r="C115" s="372">
        <f t="shared" ref="C115:J115" si="28">IFERROR(C116*C117,"N/A")</f>
        <v>0</v>
      </c>
      <c r="D115" s="372">
        <f t="shared" si="28"/>
        <v>900</v>
      </c>
      <c r="E115" s="372">
        <f t="shared" si="28"/>
        <v>900</v>
      </c>
      <c r="F115" s="372">
        <f t="shared" si="28"/>
        <v>600</v>
      </c>
      <c r="G115" s="372">
        <f t="shared" si="28"/>
        <v>450</v>
      </c>
      <c r="H115" s="372">
        <f t="shared" si="28"/>
        <v>450</v>
      </c>
      <c r="I115" s="372"/>
      <c r="J115" s="373">
        <f t="shared" si="28"/>
        <v>450</v>
      </c>
      <c r="K115" s="225"/>
      <c r="L115" s="357"/>
      <c r="M115" s="357"/>
      <c r="N115" s="225"/>
      <c r="O115" s="225"/>
      <c r="P115" s="225"/>
      <c r="Q115" s="225"/>
      <c r="R115" s="225"/>
      <c r="S115" s="225"/>
    </row>
    <row r="116" spans="1:19" s="71" customFormat="1" ht="15.5" outlineLevel="1" x14ac:dyDescent="0.35">
      <c r="A116" s="386" t="s">
        <v>41</v>
      </c>
      <c r="B116" s="313" t="s">
        <v>49</v>
      </c>
      <c r="C116" s="387">
        <v>0</v>
      </c>
      <c r="D116" s="387">
        <v>0.05</v>
      </c>
      <c r="E116" s="387">
        <v>0.05</v>
      </c>
      <c r="F116" s="387">
        <v>0.05</v>
      </c>
      <c r="G116" s="387">
        <v>0.05</v>
      </c>
      <c r="H116" s="387">
        <v>0.05</v>
      </c>
      <c r="I116" s="387"/>
      <c r="J116" s="388">
        <v>0.05</v>
      </c>
      <c r="K116" s="224"/>
      <c r="L116" s="389"/>
      <c r="M116" s="357"/>
      <c r="N116" s="225"/>
      <c r="O116" s="225"/>
      <c r="P116" s="225"/>
      <c r="Q116" s="225"/>
      <c r="R116" s="225"/>
      <c r="S116" s="225"/>
    </row>
    <row r="117" spans="1:19" s="71" customFormat="1" ht="15.75" customHeight="1" outlineLevel="1" x14ac:dyDescent="0.3">
      <c r="A117" s="386" t="s">
        <v>42</v>
      </c>
      <c r="B117" s="313" t="s">
        <v>81</v>
      </c>
      <c r="C117" s="361">
        <v>0</v>
      </c>
      <c r="D117" s="361">
        <f>12*1500</f>
        <v>18000</v>
      </c>
      <c r="E117" s="361">
        <f>12*1500</f>
        <v>18000</v>
      </c>
      <c r="F117" s="361">
        <f>12*1000</f>
        <v>12000</v>
      </c>
      <c r="G117" s="361">
        <f>12*750</f>
        <v>9000</v>
      </c>
      <c r="H117" s="361">
        <f t="shared" ref="H117:J117" si="29">12*750</f>
        <v>9000</v>
      </c>
      <c r="I117" s="361"/>
      <c r="J117" s="362">
        <f t="shared" si="29"/>
        <v>9000</v>
      </c>
      <c r="K117" s="225"/>
      <c r="L117" s="357"/>
      <c r="M117" s="357"/>
      <c r="N117" s="225"/>
      <c r="O117" s="225"/>
      <c r="P117" s="225"/>
      <c r="Q117" s="225"/>
      <c r="R117" s="225"/>
      <c r="S117" s="225"/>
    </row>
    <row r="118" spans="1:19" s="71" customFormat="1" ht="15.5" outlineLevel="1" x14ac:dyDescent="0.3">
      <c r="A118" s="225"/>
      <c r="B118" s="313"/>
      <c r="C118" s="225"/>
      <c r="D118" s="384"/>
      <c r="E118" s="384"/>
      <c r="F118" s="384"/>
      <c r="G118" s="384"/>
      <c r="H118" s="384"/>
      <c r="I118" s="384"/>
      <c r="J118" s="385"/>
      <c r="K118" s="225"/>
      <c r="L118" s="357"/>
      <c r="M118" s="357"/>
      <c r="N118" s="225"/>
      <c r="O118" s="225"/>
      <c r="P118" s="225"/>
      <c r="Q118" s="225"/>
      <c r="R118" s="225"/>
      <c r="S118" s="225"/>
    </row>
    <row r="119" spans="1:19" s="71" customFormat="1" ht="15.5" outlineLevel="1" x14ac:dyDescent="0.35">
      <c r="A119" s="360" t="s">
        <v>46</v>
      </c>
      <c r="B119" s="313"/>
      <c r="C119" s="372">
        <f t="shared" ref="C119:J119" si="30">C120*C121</f>
        <v>0</v>
      </c>
      <c r="D119" s="372">
        <f t="shared" si="30"/>
        <v>0</v>
      </c>
      <c r="E119" s="372">
        <f t="shared" si="30"/>
        <v>0</v>
      </c>
      <c r="F119" s="372">
        <f t="shared" si="30"/>
        <v>0</v>
      </c>
      <c r="G119" s="372">
        <f t="shared" si="30"/>
        <v>0</v>
      </c>
      <c r="H119" s="372">
        <f t="shared" si="30"/>
        <v>0</v>
      </c>
      <c r="I119" s="372"/>
      <c r="J119" s="373">
        <f t="shared" si="30"/>
        <v>0</v>
      </c>
      <c r="K119" s="224"/>
      <c r="L119" s="357"/>
      <c r="M119" s="357"/>
      <c r="N119" s="225"/>
      <c r="O119" s="225"/>
      <c r="P119" s="225"/>
      <c r="Q119" s="225"/>
      <c r="R119" s="225"/>
      <c r="S119" s="225"/>
    </row>
    <row r="120" spans="1:19" s="71" customFormat="1" ht="15.5" outlineLevel="1" x14ac:dyDescent="0.35">
      <c r="A120" s="386" t="s">
        <v>34</v>
      </c>
      <c r="B120" s="313" t="s">
        <v>82</v>
      </c>
      <c r="C120" s="390"/>
      <c r="D120" s="390"/>
      <c r="E120" s="390"/>
      <c r="F120" s="390"/>
      <c r="G120" s="390"/>
      <c r="H120" s="390"/>
      <c r="I120" s="390"/>
      <c r="J120" s="391"/>
      <c r="K120" s="224"/>
      <c r="L120" s="389"/>
      <c r="M120" s="357"/>
      <c r="N120" s="225"/>
      <c r="O120" s="225"/>
      <c r="P120" s="225"/>
      <c r="Q120" s="225"/>
      <c r="R120" s="225"/>
      <c r="S120" s="225"/>
    </row>
    <row r="121" spans="1:19" s="71" customFormat="1" ht="15.5" outlineLevel="1" x14ac:dyDescent="0.35">
      <c r="A121" s="386" t="s">
        <v>35</v>
      </c>
      <c r="B121" s="313" t="s">
        <v>83</v>
      </c>
      <c r="C121" s="361"/>
      <c r="D121" s="361"/>
      <c r="E121" s="361"/>
      <c r="F121" s="361"/>
      <c r="G121" s="361"/>
      <c r="H121" s="361"/>
      <c r="I121" s="361"/>
      <c r="J121" s="362"/>
      <c r="K121" s="224"/>
      <c r="L121" s="357" t="s">
        <v>126</v>
      </c>
      <c r="M121" s="357"/>
      <c r="N121" s="225"/>
      <c r="O121" s="225"/>
      <c r="P121" s="225"/>
      <c r="Q121" s="225"/>
      <c r="R121" s="225"/>
      <c r="S121" s="225"/>
    </row>
    <row r="122" spans="1:19" s="3" customFormat="1" ht="4.5" customHeight="1" outlineLevel="1" x14ac:dyDescent="0.3">
      <c r="A122" s="225"/>
      <c r="B122" s="313"/>
      <c r="C122" s="355"/>
      <c r="D122" s="355"/>
      <c r="E122" s="355"/>
      <c r="F122" s="355"/>
      <c r="G122" s="355"/>
      <c r="H122" s="355"/>
      <c r="I122" s="355"/>
      <c r="J122" s="356"/>
      <c r="K122" s="225"/>
      <c r="L122" s="357"/>
      <c r="M122" s="357"/>
      <c r="N122" s="225"/>
      <c r="O122" s="225"/>
      <c r="P122" s="225"/>
      <c r="Q122" s="225"/>
      <c r="R122" s="225"/>
      <c r="S122" s="225"/>
    </row>
    <row r="123" spans="1:19" s="3" customFormat="1" ht="14.25" customHeight="1" outlineLevel="1" x14ac:dyDescent="0.3">
      <c r="A123" s="365" t="s">
        <v>9</v>
      </c>
      <c r="B123" s="366"/>
      <c r="C123" s="376">
        <f>C125</f>
        <v>0</v>
      </c>
      <c r="D123" s="376">
        <f t="shared" ref="D123:J123" si="31">D125</f>
        <v>0</v>
      </c>
      <c r="E123" s="376">
        <f t="shared" si="31"/>
        <v>0</v>
      </c>
      <c r="F123" s="376">
        <f t="shared" si="31"/>
        <v>0</v>
      </c>
      <c r="G123" s="376">
        <f t="shared" si="31"/>
        <v>0</v>
      </c>
      <c r="H123" s="376">
        <f t="shared" si="31"/>
        <v>0</v>
      </c>
      <c r="I123" s="376"/>
      <c r="J123" s="376">
        <f t="shared" si="31"/>
        <v>0</v>
      </c>
      <c r="K123" s="352" t="s">
        <v>79</v>
      </c>
      <c r="L123" s="368"/>
      <c r="M123" s="368"/>
      <c r="N123" s="354"/>
      <c r="O123" s="352"/>
      <c r="P123" s="352"/>
      <c r="Q123" s="225"/>
      <c r="R123" s="225"/>
      <c r="S123" s="225"/>
    </row>
    <row r="124" spans="1:19" s="3" customFormat="1" ht="4.5" customHeight="1" outlineLevel="1" x14ac:dyDescent="0.3">
      <c r="A124" s="225"/>
      <c r="B124" s="313"/>
      <c r="C124" s="355"/>
      <c r="D124" s="355"/>
      <c r="E124" s="355"/>
      <c r="F124" s="355"/>
      <c r="G124" s="355"/>
      <c r="H124" s="355"/>
      <c r="I124" s="355"/>
      <c r="J124" s="356"/>
      <c r="K124" s="225"/>
      <c r="L124" s="357"/>
      <c r="M124" s="357"/>
      <c r="N124" s="225"/>
      <c r="O124" s="225"/>
      <c r="P124" s="225"/>
      <c r="Q124" s="225"/>
      <c r="R124" s="225"/>
      <c r="S124" s="225"/>
    </row>
    <row r="125" spans="1:19" ht="15.5" outlineLevel="1" x14ac:dyDescent="0.35">
      <c r="A125" s="369" t="s">
        <v>9</v>
      </c>
      <c r="B125" s="257" t="s">
        <v>53</v>
      </c>
      <c r="C125" s="372">
        <f>IFERROR(Finanzierung!E170,"N/A")</f>
        <v>0</v>
      </c>
      <c r="D125" s="372">
        <f>IFERROR(Finanzierung!F170,"N/A")</f>
        <v>0</v>
      </c>
      <c r="E125" s="372">
        <f>IFERROR(Finanzierung!G170,"N/A")</f>
        <v>0</v>
      </c>
      <c r="F125" s="372">
        <f>IFERROR(Finanzierung!H170,"N/A")</f>
        <v>0</v>
      </c>
      <c r="G125" s="372">
        <f>IFERROR(Finanzierung!I170,"N/A")</f>
        <v>0</v>
      </c>
      <c r="H125" s="372">
        <f>IFERROR(Finanzierung!J170,"N/A")</f>
        <v>0</v>
      </c>
      <c r="I125" s="372"/>
      <c r="J125" s="373">
        <f>IFERROR(Finanzierung!L170,"N/A")</f>
        <v>0</v>
      </c>
      <c r="K125" s="374" t="s">
        <v>95</v>
      </c>
      <c r="L125" s="389"/>
      <c r="M125" s="375"/>
      <c r="N125" s="14"/>
      <c r="O125" s="14"/>
      <c r="P125" s="14"/>
      <c r="Q125" s="14"/>
      <c r="R125" s="14"/>
      <c r="S125" s="14"/>
    </row>
    <row r="126" spans="1:19" s="3" customFormat="1" ht="4.5" customHeight="1" outlineLevel="1" x14ac:dyDescent="0.3">
      <c r="A126" s="225"/>
      <c r="B126" s="313"/>
      <c r="C126" s="355"/>
      <c r="D126" s="355"/>
      <c r="E126" s="355"/>
      <c r="F126" s="355"/>
      <c r="G126" s="355"/>
      <c r="H126" s="355"/>
      <c r="I126" s="355"/>
      <c r="J126" s="356"/>
      <c r="K126" s="225"/>
      <c r="L126" s="357"/>
      <c r="M126" s="357"/>
      <c r="N126" s="225"/>
      <c r="O126" s="225"/>
      <c r="P126" s="225"/>
      <c r="Q126" s="225"/>
      <c r="R126" s="225"/>
      <c r="S126" s="225"/>
    </row>
    <row r="127" spans="1:19" s="71" customFormat="1" ht="15.5" outlineLevel="1" x14ac:dyDescent="0.3">
      <c r="A127" s="348" t="s">
        <v>13</v>
      </c>
      <c r="B127" s="349"/>
      <c r="C127" s="350"/>
      <c r="D127" s="350"/>
      <c r="E127" s="350"/>
      <c r="F127" s="350"/>
      <c r="G127" s="350"/>
      <c r="H127" s="350"/>
      <c r="I127" s="350"/>
      <c r="J127" s="351"/>
      <c r="K127" s="352" t="s">
        <v>79</v>
      </c>
      <c r="L127" s="353"/>
      <c r="M127" s="353"/>
      <c r="N127" s="350"/>
      <c r="O127" s="350"/>
      <c r="P127" s="350"/>
      <c r="Q127" s="225"/>
      <c r="R127" s="225"/>
      <c r="S127" s="225"/>
    </row>
    <row r="128" spans="1:19" s="71" customFormat="1" ht="15.5" outlineLevel="1" x14ac:dyDescent="0.3">
      <c r="A128" s="225" t="s">
        <v>21</v>
      </c>
      <c r="B128" s="313"/>
      <c r="C128" s="387"/>
      <c r="D128" s="387"/>
      <c r="E128" s="387"/>
      <c r="F128" s="387"/>
      <c r="G128" s="387"/>
      <c r="H128" s="387"/>
      <c r="I128" s="387"/>
      <c r="J128" s="388"/>
      <c r="K128" s="225"/>
      <c r="L128" s="357"/>
      <c r="M128" s="357"/>
      <c r="N128" s="225"/>
      <c r="O128" s="225"/>
      <c r="P128" s="225"/>
      <c r="Q128" s="225"/>
      <c r="R128" s="225"/>
      <c r="S128" s="225"/>
    </row>
    <row r="129" spans="1:19" ht="15.5" x14ac:dyDescent="0.35">
      <c r="A129" s="14"/>
      <c r="B129" s="14"/>
      <c r="C129" s="14"/>
      <c r="D129" s="14"/>
      <c r="E129" s="14"/>
      <c r="F129" s="14"/>
      <c r="G129" s="14"/>
      <c r="H129" s="14"/>
      <c r="I129" s="14"/>
      <c r="J129" s="14"/>
      <c r="K129" s="14"/>
      <c r="L129" s="14"/>
      <c r="M129" s="14"/>
      <c r="N129" s="14"/>
      <c r="O129" s="14"/>
      <c r="P129" s="14"/>
      <c r="Q129" s="14"/>
      <c r="R129" s="14"/>
      <c r="S129" s="14"/>
    </row>
    <row r="130" spans="1:19" ht="15.5" x14ac:dyDescent="0.35">
      <c r="A130" s="14"/>
      <c r="B130" s="14"/>
      <c r="C130" s="14"/>
      <c r="D130" s="14"/>
      <c r="E130" s="14"/>
      <c r="F130" s="14"/>
      <c r="G130" s="14"/>
      <c r="H130" s="14"/>
      <c r="I130" s="14"/>
      <c r="J130" s="14"/>
      <c r="K130" s="14"/>
      <c r="L130" s="14"/>
      <c r="M130" s="14"/>
      <c r="N130" s="14"/>
      <c r="O130" s="14"/>
      <c r="P130" s="14"/>
      <c r="Q130" s="14"/>
      <c r="R130" s="14"/>
      <c r="S130" s="14"/>
    </row>
    <row r="131" spans="1:19" ht="15.5" x14ac:dyDescent="0.35">
      <c r="A131" s="104"/>
      <c r="B131" s="14"/>
      <c r="C131" s="14"/>
      <c r="D131" s="14"/>
      <c r="E131" s="14"/>
      <c r="F131" s="14"/>
      <c r="G131" s="14"/>
      <c r="H131" s="14"/>
      <c r="I131" s="14"/>
      <c r="J131" s="14"/>
      <c r="K131" s="14"/>
      <c r="L131" s="14"/>
      <c r="M131" s="14"/>
      <c r="N131" s="14"/>
      <c r="O131" s="14"/>
      <c r="P131" s="14"/>
      <c r="Q131" s="14"/>
      <c r="R131" s="14"/>
      <c r="S131" s="14"/>
    </row>
    <row r="132" spans="1:19" ht="15.5" x14ac:dyDescent="0.35">
      <c r="A132" s="104"/>
      <c r="B132" s="14"/>
      <c r="C132" s="14"/>
      <c r="D132" s="14"/>
      <c r="E132" s="14"/>
      <c r="F132" s="14"/>
      <c r="G132" s="14"/>
      <c r="H132" s="14"/>
      <c r="I132" s="14"/>
      <c r="J132" s="14"/>
      <c r="K132" s="14"/>
      <c r="L132" s="14"/>
      <c r="M132" s="14"/>
      <c r="N132" s="14"/>
      <c r="O132" s="14"/>
      <c r="P132" s="14"/>
      <c r="Q132" s="14"/>
      <c r="R132" s="14"/>
      <c r="S132" s="14"/>
    </row>
    <row r="133" spans="1:19" ht="15.5" x14ac:dyDescent="0.35">
      <c r="A133" s="104"/>
      <c r="B133" s="14"/>
      <c r="C133" s="14"/>
      <c r="D133" s="14"/>
      <c r="E133" s="14"/>
      <c r="F133" s="14"/>
      <c r="G133" s="14"/>
      <c r="H133" s="14"/>
      <c r="I133" s="14"/>
      <c r="J133" s="14"/>
      <c r="K133" s="14"/>
      <c r="L133" s="14"/>
      <c r="M133" s="14"/>
      <c r="N133" s="14"/>
      <c r="O133" s="14"/>
      <c r="P133" s="14"/>
      <c r="Q133" s="14"/>
      <c r="R133" s="14"/>
      <c r="S133" s="14"/>
    </row>
    <row r="134" spans="1:19" ht="15.5" x14ac:dyDescent="0.35">
      <c r="A134" s="104"/>
      <c r="B134" s="14"/>
      <c r="C134" s="14"/>
      <c r="D134" s="14"/>
      <c r="E134" s="14"/>
      <c r="F134" s="14"/>
      <c r="G134" s="14"/>
      <c r="H134" s="14"/>
      <c r="I134" s="14"/>
      <c r="J134" s="14"/>
      <c r="K134" s="14"/>
      <c r="L134" s="14"/>
      <c r="M134" s="14"/>
      <c r="N134" s="14"/>
      <c r="O134" s="14"/>
      <c r="P134" s="14"/>
      <c r="Q134" s="14"/>
      <c r="R134" s="14"/>
      <c r="S134" s="14"/>
    </row>
    <row r="135" spans="1:19" ht="15.5" x14ac:dyDescent="0.35">
      <c r="A135" s="104"/>
      <c r="B135" s="14"/>
      <c r="C135" s="14"/>
      <c r="D135" s="14"/>
      <c r="E135" s="14"/>
      <c r="F135" s="14"/>
      <c r="G135" s="14"/>
      <c r="H135" s="14"/>
      <c r="I135" s="14"/>
      <c r="J135" s="14"/>
      <c r="K135" s="14"/>
      <c r="L135" s="14"/>
      <c r="M135" s="14"/>
      <c r="N135" s="14"/>
      <c r="O135" s="14"/>
      <c r="P135" s="14"/>
      <c r="Q135" s="14"/>
      <c r="R135" s="14"/>
      <c r="S135" s="14"/>
    </row>
    <row r="136" spans="1:19" ht="15.5" x14ac:dyDescent="0.35">
      <c r="A136" s="14"/>
      <c r="B136" s="14"/>
      <c r="C136" s="14"/>
      <c r="D136" s="14"/>
      <c r="E136" s="14"/>
      <c r="F136" s="14"/>
      <c r="G136" s="14"/>
      <c r="H136" s="14"/>
      <c r="I136" s="14"/>
      <c r="J136" s="14"/>
      <c r="K136" s="14"/>
      <c r="L136" s="14"/>
      <c r="M136" s="14"/>
      <c r="N136" s="14"/>
      <c r="O136" s="14"/>
      <c r="P136" s="14"/>
      <c r="Q136" s="14"/>
      <c r="R136" s="14"/>
      <c r="S136" s="14"/>
    </row>
    <row r="137" spans="1:19" ht="15.5" x14ac:dyDescent="0.35">
      <c r="A137" s="14"/>
      <c r="B137" s="14"/>
      <c r="C137" s="14"/>
      <c r="D137" s="14"/>
      <c r="E137" s="14"/>
      <c r="F137" s="14"/>
      <c r="G137" s="14"/>
      <c r="H137" s="14"/>
      <c r="I137" s="14"/>
      <c r="J137" s="14"/>
      <c r="K137" s="14"/>
      <c r="L137" s="14"/>
      <c r="M137" s="14"/>
      <c r="N137" s="14"/>
      <c r="O137" s="14"/>
      <c r="P137" s="14"/>
      <c r="Q137" s="14"/>
      <c r="R137" s="14"/>
      <c r="S137" s="14"/>
    </row>
    <row r="138" spans="1:19" ht="15.5" x14ac:dyDescent="0.35">
      <c r="A138" s="14"/>
      <c r="B138" s="14"/>
      <c r="C138" s="14"/>
      <c r="D138" s="14"/>
      <c r="E138" s="14"/>
      <c r="F138" s="14"/>
      <c r="G138" s="14"/>
      <c r="H138" s="14"/>
      <c r="I138" s="14"/>
      <c r="J138" s="14"/>
      <c r="K138" s="14"/>
      <c r="L138" s="14"/>
      <c r="M138" s="14"/>
      <c r="N138" s="14"/>
      <c r="O138" s="14"/>
      <c r="P138" s="14"/>
      <c r="Q138" s="14"/>
      <c r="R138" s="14"/>
      <c r="S138" s="14"/>
    </row>
    <row r="139" spans="1:19" ht="15.5" x14ac:dyDescent="0.35">
      <c r="A139" s="14"/>
      <c r="B139" s="14"/>
      <c r="C139" s="14"/>
      <c r="D139" s="14"/>
      <c r="E139" s="14"/>
      <c r="F139" s="14"/>
      <c r="G139" s="14"/>
      <c r="H139" s="14"/>
      <c r="I139" s="14"/>
      <c r="J139" s="14"/>
      <c r="K139" s="14"/>
      <c r="L139" s="14"/>
      <c r="M139" s="14"/>
      <c r="N139" s="14"/>
      <c r="O139" s="14"/>
      <c r="P139" s="14"/>
      <c r="Q139" s="14"/>
      <c r="R139" s="14"/>
      <c r="S139" s="14"/>
    </row>
    <row r="140" spans="1:19" ht="15.5" x14ac:dyDescent="0.35">
      <c r="A140" s="14"/>
      <c r="B140" s="14"/>
      <c r="C140" s="14"/>
      <c r="D140" s="14"/>
      <c r="E140" s="14"/>
      <c r="F140" s="14"/>
      <c r="G140" s="14"/>
      <c r="H140" s="14"/>
      <c r="I140" s="14"/>
      <c r="J140" s="14"/>
      <c r="K140" s="14"/>
      <c r="L140" s="14"/>
      <c r="M140" s="14"/>
      <c r="N140" s="14"/>
      <c r="O140" s="14"/>
      <c r="P140" s="14"/>
      <c r="Q140" s="14"/>
      <c r="R140" s="14"/>
      <c r="S140" s="14"/>
    </row>
    <row r="141" spans="1:19" ht="15.5" x14ac:dyDescent="0.35">
      <c r="A141" s="14"/>
      <c r="B141" s="14"/>
      <c r="C141" s="14"/>
      <c r="D141" s="14"/>
      <c r="E141" s="14"/>
      <c r="F141" s="14"/>
      <c r="G141" s="14"/>
      <c r="H141" s="14"/>
      <c r="I141" s="14"/>
      <c r="J141" s="14"/>
      <c r="K141" s="14"/>
      <c r="L141" s="14"/>
      <c r="M141" s="14"/>
      <c r="N141" s="14"/>
      <c r="O141" s="14"/>
      <c r="P141" s="14"/>
      <c r="Q141" s="14"/>
      <c r="R141" s="14"/>
      <c r="S141" s="14"/>
    </row>
    <row r="142" spans="1:19" ht="15.5" x14ac:dyDescent="0.35">
      <c r="A142" s="14"/>
      <c r="B142" s="14"/>
      <c r="C142" s="14"/>
      <c r="D142" s="14"/>
      <c r="E142" s="14"/>
      <c r="F142" s="14"/>
      <c r="G142" s="14"/>
      <c r="H142" s="14"/>
      <c r="I142" s="14"/>
      <c r="J142" s="14"/>
      <c r="K142" s="14"/>
      <c r="L142" s="14"/>
      <c r="M142" s="14"/>
      <c r="N142" s="14"/>
      <c r="O142" s="14"/>
      <c r="P142" s="14"/>
      <c r="Q142" s="14"/>
      <c r="R142" s="14"/>
      <c r="S142" s="14"/>
    </row>
    <row r="143" spans="1:19" ht="15.5" x14ac:dyDescent="0.35">
      <c r="A143" s="14"/>
      <c r="B143" s="14"/>
      <c r="C143" s="14"/>
      <c r="D143" s="14"/>
      <c r="E143" s="14"/>
      <c r="F143" s="14"/>
      <c r="G143" s="14"/>
      <c r="H143" s="14"/>
      <c r="I143" s="14"/>
      <c r="J143" s="14"/>
      <c r="K143" s="14"/>
      <c r="L143" s="14"/>
      <c r="M143" s="14"/>
      <c r="N143" s="14"/>
      <c r="O143" s="14"/>
      <c r="P143" s="14"/>
      <c r="Q143" s="14"/>
      <c r="R143" s="14"/>
      <c r="S143" s="14"/>
    </row>
  </sheetData>
  <mergeCells count="1">
    <mergeCell ref="A5:P5"/>
  </mergeCells>
  <hyperlinks>
    <hyperlink ref="M94" r:id="rId1" xr:uid="{00000000-0004-0000-0500-000000000000}"/>
    <hyperlink ref="M79" r:id="rId2" xr:uid="{00000000-0004-0000-0500-000001000000}"/>
  </hyperlinks>
  <pageMargins left="0.7" right="0.7" top="0.78740157499999996" bottom="0.78740157499999996" header="0.3" footer="0.3"/>
  <pageSetup paperSize="9" scale="27" orientation="landscape" r:id="rId3"/>
  <colBreaks count="1" manualBreakCount="1">
    <brk id="16" max="1048575" man="1"/>
  </colBreaks>
  <ignoredErrors>
    <ignoredError sqref="C11:N127" unlockedFormula="1"/>
  </ignoredErrors>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2:AC61"/>
  <sheetViews>
    <sheetView topLeftCell="A13" zoomScale="74" zoomScaleNormal="100" zoomScaleSheetLayoutView="115" zoomScalePageLayoutView="55" workbookViewId="0">
      <selection activeCell="H22" sqref="H22"/>
    </sheetView>
  </sheetViews>
  <sheetFormatPr baseColWidth="10" defaultColWidth="10.58203125" defaultRowHeight="15.5" x14ac:dyDescent="0.3"/>
  <cols>
    <col min="1" max="1" width="10.58203125" style="22"/>
    <col min="2" max="2" width="60.58203125" style="22" customWidth="1"/>
    <col min="3" max="3" width="13.58203125" style="22" customWidth="1"/>
    <col min="4" max="4" width="11.33203125" style="22" customWidth="1"/>
    <col min="5" max="5" width="15.83203125" style="22" customWidth="1"/>
    <col min="6" max="6" width="16.25" style="22" customWidth="1"/>
    <col min="7" max="7" width="17" style="22" customWidth="1"/>
    <col min="8" max="8" width="16.58203125" style="22" customWidth="1"/>
    <col min="9" max="10" width="10.58203125" style="22" customWidth="1"/>
    <col min="11" max="15" width="10.58203125" style="22"/>
    <col min="16" max="16" width="17.33203125" style="22" customWidth="1"/>
    <col min="17" max="17" width="12.75" style="22" customWidth="1"/>
    <col min="18" max="24" width="10.58203125" style="22"/>
    <col min="25" max="25" width="22.75" style="22" customWidth="1"/>
    <col min="26" max="16384" width="10.58203125" style="22"/>
  </cols>
  <sheetData>
    <row r="2" spans="1:19" s="15" customFormat="1" ht="17.5" customHeight="1" x14ac:dyDescent="0.3">
      <c r="A2" s="15">
        <v>2</v>
      </c>
      <c r="B2" s="16" t="s">
        <v>203</v>
      </c>
      <c r="C2" s="17">
        <v>0.33</v>
      </c>
      <c r="D2" s="17">
        <v>0.33</v>
      </c>
      <c r="E2" s="15" t="s">
        <v>272</v>
      </c>
      <c r="F2" s="18">
        <v>0</v>
      </c>
      <c r="G2" s="18">
        <v>0</v>
      </c>
      <c r="H2" s="19">
        <v>0.8</v>
      </c>
      <c r="J2" s="18"/>
      <c r="K2" s="20"/>
      <c r="M2" s="21"/>
      <c r="N2" s="17"/>
      <c r="O2" s="17"/>
    </row>
    <row r="3" spans="1:19" x14ac:dyDescent="0.3">
      <c r="C3" s="23" t="s">
        <v>198</v>
      </c>
      <c r="F3" s="24"/>
    </row>
    <row r="4" spans="1:19" x14ac:dyDescent="0.3">
      <c r="C4" s="25"/>
      <c r="D4" s="25"/>
      <c r="J4" s="25"/>
      <c r="K4" s="25"/>
      <c r="L4" s="25"/>
      <c r="M4" s="25"/>
      <c r="N4" s="25"/>
      <c r="O4" s="26"/>
    </row>
    <row r="5" spans="1:19" ht="28" customHeight="1" x14ac:dyDescent="0.3">
      <c r="B5" s="27"/>
      <c r="C5" s="776" t="s">
        <v>173</v>
      </c>
      <c r="D5" s="777"/>
      <c r="E5" s="22" t="s">
        <v>205</v>
      </c>
      <c r="G5" s="28" t="s">
        <v>63</v>
      </c>
      <c r="I5" s="29"/>
      <c r="K5" s="30"/>
      <c r="M5" s="23"/>
      <c r="N5" s="23"/>
      <c r="O5" s="23"/>
    </row>
    <row r="6" spans="1:19" ht="77.5" x14ac:dyDescent="0.3">
      <c r="B6" s="31" t="s">
        <v>169</v>
      </c>
      <c r="C6" s="32" t="s">
        <v>228</v>
      </c>
      <c r="D6" s="33" t="s">
        <v>227</v>
      </c>
      <c r="E6" s="32" t="s">
        <v>228</v>
      </c>
      <c r="F6" s="33" t="s">
        <v>227</v>
      </c>
      <c r="G6" s="32" t="s">
        <v>228</v>
      </c>
      <c r="H6" s="33" t="s">
        <v>227</v>
      </c>
      <c r="I6" s="34" t="s">
        <v>195</v>
      </c>
      <c r="J6" s="28"/>
      <c r="K6" s="24"/>
      <c r="M6" s="35"/>
      <c r="N6" s="35"/>
      <c r="O6" s="34"/>
    </row>
    <row r="7" spans="1:19" x14ac:dyDescent="0.3">
      <c r="A7" s="15">
        <v>0</v>
      </c>
      <c r="B7" s="36" t="s">
        <v>208</v>
      </c>
      <c r="C7" s="37"/>
      <c r="D7" s="37"/>
      <c r="E7" s="37"/>
      <c r="F7" s="37"/>
      <c r="G7" s="37"/>
      <c r="I7" s="38"/>
      <c r="J7" s="37"/>
      <c r="K7" s="24"/>
      <c r="M7" s="39"/>
      <c r="N7" s="39"/>
      <c r="O7" s="40"/>
    </row>
    <row r="8" spans="1:19" s="15" customFormat="1" ht="30.65" customHeight="1" x14ac:dyDescent="0.3">
      <c r="A8" s="15">
        <v>1</v>
      </c>
      <c r="B8" s="16" t="s">
        <v>229</v>
      </c>
      <c r="C8" s="17">
        <v>0</v>
      </c>
      <c r="D8" s="17">
        <v>0</v>
      </c>
      <c r="E8" s="18">
        <v>0</v>
      </c>
      <c r="F8" s="18">
        <v>0</v>
      </c>
      <c r="G8" s="576" t="s">
        <v>272</v>
      </c>
      <c r="H8" s="576" t="s">
        <v>272</v>
      </c>
      <c r="I8" s="19">
        <v>0.8</v>
      </c>
      <c r="J8" s="18"/>
      <c r="K8" s="20"/>
      <c r="M8" s="17"/>
      <c r="N8" s="17"/>
      <c r="O8" s="17"/>
    </row>
    <row r="9" spans="1:19" s="15" customFormat="1" ht="31" customHeight="1" x14ac:dyDescent="0.3">
      <c r="A9" s="15">
        <v>2</v>
      </c>
      <c r="B9" s="41" t="s">
        <v>246</v>
      </c>
      <c r="C9" s="21">
        <v>0.2</v>
      </c>
      <c r="D9" s="21">
        <v>0.2</v>
      </c>
      <c r="E9" s="18">
        <v>0</v>
      </c>
      <c r="F9" s="18">
        <v>0</v>
      </c>
      <c r="G9" s="576" t="s">
        <v>272</v>
      </c>
      <c r="H9" s="576" t="s">
        <v>272</v>
      </c>
      <c r="I9" s="19">
        <v>0.8</v>
      </c>
      <c r="J9" s="18"/>
      <c r="K9" s="20"/>
      <c r="M9" s="21"/>
      <c r="N9" s="17"/>
      <c r="O9" s="17"/>
    </row>
    <row r="10" spans="1:19" s="15" customFormat="1" ht="35.25" customHeight="1" x14ac:dyDescent="0.35">
      <c r="A10" s="15">
        <v>3</v>
      </c>
      <c r="B10" s="41" t="s">
        <v>315</v>
      </c>
      <c r="C10" s="21">
        <v>0</v>
      </c>
      <c r="D10" s="17">
        <v>0</v>
      </c>
      <c r="E10" s="18">
        <v>0.1</v>
      </c>
      <c r="F10" s="18">
        <v>0.2</v>
      </c>
      <c r="G10" s="59">
        <f>22%+22%*E10</f>
        <v>0.24199999999999999</v>
      </c>
      <c r="H10" s="59">
        <f>22%+22%*F10</f>
        <v>0.26400000000000001</v>
      </c>
      <c r="I10" s="19">
        <v>0.9</v>
      </c>
      <c r="J10" s="18"/>
      <c r="K10" s="42"/>
      <c r="M10" s="21"/>
      <c r="N10" s="17"/>
      <c r="O10" s="17"/>
      <c r="Q10" s="43">
        <v>80</v>
      </c>
      <c r="R10" s="22" t="s">
        <v>199</v>
      </c>
      <c r="S10" s="22" t="s">
        <v>202</v>
      </c>
    </row>
    <row r="11" spans="1:19" s="15" customFormat="1" ht="35.25" customHeight="1" x14ac:dyDescent="0.3">
      <c r="A11" s="15">
        <v>4</v>
      </c>
      <c r="B11" s="41" t="s">
        <v>314</v>
      </c>
      <c r="C11" s="21">
        <v>0.33</v>
      </c>
      <c r="D11" s="17">
        <v>0.33</v>
      </c>
      <c r="E11" s="18">
        <v>0</v>
      </c>
      <c r="F11" s="18">
        <v>0</v>
      </c>
      <c r="G11" s="18">
        <v>0.37</v>
      </c>
      <c r="H11" s="18">
        <v>0.37</v>
      </c>
      <c r="I11" s="19">
        <v>0.8</v>
      </c>
      <c r="J11" s="18"/>
      <c r="K11" s="42"/>
      <c r="M11" s="21"/>
      <c r="N11" s="17"/>
      <c r="O11" s="17"/>
      <c r="Q11" s="22">
        <v>90</v>
      </c>
      <c r="R11" s="22" t="s">
        <v>201</v>
      </c>
      <c r="S11" s="22"/>
    </row>
    <row r="12" spans="1:19" s="15" customFormat="1" ht="31.5" customHeight="1" x14ac:dyDescent="0.3">
      <c r="A12" s="15">
        <v>5</v>
      </c>
      <c r="B12" s="41" t="s">
        <v>309</v>
      </c>
      <c r="C12" s="21">
        <v>0.33</v>
      </c>
      <c r="D12" s="17">
        <v>0.33</v>
      </c>
      <c r="E12" s="18">
        <v>0</v>
      </c>
      <c r="F12" s="18">
        <v>0</v>
      </c>
      <c r="G12" s="18">
        <v>0.34</v>
      </c>
      <c r="H12" s="18">
        <v>0.34</v>
      </c>
      <c r="I12" s="19">
        <v>0.8</v>
      </c>
      <c r="J12" s="18"/>
      <c r="K12" s="20"/>
      <c r="M12" s="21"/>
      <c r="N12" s="17"/>
      <c r="O12" s="17"/>
      <c r="Q12" s="22">
        <v>100</v>
      </c>
      <c r="R12" s="22" t="s">
        <v>200</v>
      </c>
      <c r="S12" s="22"/>
    </row>
    <row r="13" spans="1:19" s="15" customFormat="1" ht="17.25" customHeight="1" x14ac:dyDescent="0.3">
      <c r="A13" s="15">
        <v>6</v>
      </c>
      <c r="B13" s="41" t="s">
        <v>276</v>
      </c>
      <c r="C13" s="21">
        <v>0.5</v>
      </c>
      <c r="D13" s="17">
        <v>0.5</v>
      </c>
      <c r="E13" s="18">
        <v>0</v>
      </c>
      <c r="F13" s="18">
        <v>0</v>
      </c>
      <c r="G13" s="15" t="s">
        <v>272</v>
      </c>
      <c r="H13" s="15" t="s">
        <v>272</v>
      </c>
      <c r="I13" s="19">
        <v>0.8</v>
      </c>
      <c r="J13" s="18"/>
      <c r="K13" s="20"/>
      <c r="M13" s="21"/>
      <c r="N13" s="17"/>
      <c r="O13" s="17"/>
    </row>
    <row r="14" spans="1:19" s="15" customFormat="1" ht="15.65" customHeight="1" x14ac:dyDescent="0.3">
      <c r="A14" s="15">
        <v>7</v>
      </c>
      <c r="B14" s="44" t="s">
        <v>345</v>
      </c>
      <c r="C14" s="21">
        <v>0</v>
      </c>
      <c r="D14" s="17">
        <v>0</v>
      </c>
      <c r="E14" s="18">
        <v>0.1</v>
      </c>
      <c r="F14" s="18">
        <v>0.2</v>
      </c>
      <c r="G14" s="595" t="s">
        <v>206</v>
      </c>
      <c r="H14" s="595"/>
      <c r="I14" s="19">
        <v>0.9</v>
      </c>
      <c r="J14" s="18"/>
      <c r="K14" s="42"/>
      <c r="M14" s="21"/>
      <c r="N14" s="17"/>
      <c r="O14" s="17"/>
    </row>
    <row r="15" spans="1:19" s="15" customFormat="1" ht="15.65" customHeight="1" x14ac:dyDescent="0.3">
      <c r="A15" s="15">
        <v>8</v>
      </c>
      <c r="B15" s="44" t="s">
        <v>209</v>
      </c>
      <c r="C15" s="21">
        <v>0</v>
      </c>
      <c r="D15" s="17">
        <v>0</v>
      </c>
      <c r="E15" s="18">
        <v>0.1</v>
      </c>
      <c r="F15" s="18">
        <v>0.2</v>
      </c>
      <c r="G15" s="595" t="s">
        <v>206</v>
      </c>
      <c r="H15" s="595"/>
      <c r="I15" s="19">
        <v>1</v>
      </c>
      <c r="J15" s="18"/>
      <c r="K15" s="42"/>
      <c r="M15" s="21"/>
      <c r="N15" s="17"/>
      <c r="O15" s="17"/>
    </row>
    <row r="16" spans="1:19" s="15" customFormat="1" x14ac:dyDescent="0.3">
      <c r="A16" s="15">
        <v>9</v>
      </c>
      <c r="B16" s="45" t="s">
        <v>271</v>
      </c>
      <c r="C16" s="21">
        <v>0</v>
      </c>
      <c r="D16" s="17">
        <v>0</v>
      </c>
      <c r="E16" s="18">
        <v>0.1</v>
      </c>
      <c r="F16" s="18">
        <v>0.2</v>
      </c>
      <c r="G16" s="15" t="s">
        <v>204</v>
      </c>
      <c r="I16" s="19" t="s">
        <v>207</v>
      </c>
      <c r="J16" s="18"/>
      <c r="K16" s="42"/>
    </row>
    <row r="17" spans="1:29" s="15" customFormat="1" x14ac:dyDescent="0.3">
      <c r="A17" s="15">
        <v>10</v>
      </c>
      <c r="B17" s="45" t="s">
        <v>274</v>
      </c>
      <c r="C17" s="21">
        <v>0</v>
      </c>
      <c r="D17" s="17">
        <v>0</v>
      </c>
      <c r="E17" s="18">
        <v>0.1</v>
      </c>
      <c r="F17" s="18">
        <v>0.2</v>
      </c>
      <c r="G17" s="595" t="s">
        <v>206</v>
      </c>
      <c r="I17" s="19">
        <v>1</v>
      </c>
      <c r="J17" s="18"/>
      <c r="K17" s="42"/>
    </row>
    <row r="18" spans="1:29" s="15" customFormat="1" x14ac:dyDescent="0.3">
      <c r="A18" s="15">
        <v>11</v>
      </c>
      <c r="B18" s="45" t="s">
        <v>369</v>
      </c>
      <c r="C18" s="21">
        <v>0</v>
      </c>
      <c r="D18" s="17">
        <v>0</v>
      </c>
      <c r="E18" s="18">
        <v>0.1</v>
      </c>
      <c r="F18" s="18">
        <v>0.2</v>
      </c>
      <c r="G18" s="59">
        <f>22%+22%*E18</f>
        <v>0.24199999999999999</v>
      </c>
      <c r="H18" s="59">
        <f>22%+22%*F18</f>
        <v>0.26400000000000001</v>
      </c>
      <c r="I18" s="19">
        <v>1</v>
      </c>
      <c r="J18" s="18"/>
      <c r="K18" s="646"/>
    </row>
    <row r="19" spans="1:29" s="15" customFormat="1" x14ac:dyDescent="0.3">
      <c r="B19" s="45"/>
      <c r="C19" s="21"/>
      <c r="D19" s="17"/>
      <c r="E19" s="18"/>
      <c r="F19" s="18"/>
      <c r="G19" s="59"/>
      <c r="H19" s="59"/>
      <c r="I19" s="19"/>
      <c r="J19" s="18"/>
      <c r="P19" s="564"/>
      <c r="Q19" s="563"/>
      <c r="R19" s="563"/>
      <c r="S19" s="563"/>
      <c r="T19" s="563"/>
      <c r="U19" s="563"/>
      <c r="V19" s="563"/>
      <c r="W19" s="22"/>
    </row>
    <row r="20" spans="1:29" ht="52" x14ac:dyDescent="0.3">
      <c r="B20" s="46" t="s">
        <v>259</v>
      </c>
      <c r="Q20" s="588" t="s">
        <v>326</v>
      </c>
      <c r="R20" s="588" t="s">
        <v>317</v>
      </c>
      <c r="S20" s="588" t="s">
        <v>312</v>
      </c>
      <c r="T20" s="588" t="str">
        <f>'Übersicht TP '!I25</f>
        <v>massgebende beitragsberechtigte Kosten</v>
      </c>
      <c r="U20" s="588" t="s">
        <v>327</v>
      </c>
      <c r="V20" s="589" t="s">
        <v>313</v>
      </c>
      <c r="W20" s="589" t="s">
        <v>316</v>
      </c>
      <c r="X20" s="588" t="s">
        <v>333</v>
      </c>
      <c r="Y20" s="588" t="s">
        <v>332</v>
      </c>
      <c r="AC20" s="588" t="s">
        <v>321</v>
      </c>
    </row>
    <row r="21" spans="1:29" ht="16.5" customHeight="1" x14ac:dyDescent="0.3">
      <c r="B21" s="47" t="s">
        <v>273</v>
      </c>
      <c r="C21" s="47" t="s">
        <v>63</v>
      </c>
      <c r="E21" s="22" t="s">
        <v>343</v>
      </c>
      <c r="P21" s="778" t="s">
        <v>318</v>
      </c>
      <c r="Q21" s="565" t="s">
        <v>310</v>
      </c>
      <c r="R21" s="566">
        <v>0.6</v>
      </c>
      <c r="S21" s="565"/>
      <c r="T21" s="567" t="e">
        <f>(R21*#REF!)-(#REF!*R21)*S21</f>
        <v>#REF!</v>
      </c>
      <c r="U21" s="590">
        <f>$G$10</f>
        <v>0.24199999999999999</v>
      </c>
      <c r="V21" s="567" t="e">
        <f>U21*T21</f>
        <v>#REF!</v>
      </c>
      <c r="W21" s="565"/>
      <c r="X21" s="567"/>
      <c r="Y21" s="567"/>
      <c r="AC21" s="567"/>
    </row>
    <row r="22" spans="1:29" ht="31" x14ac:dyDescent="0.3">
      <c r="B22" s="48" t="s">
        <v>208</v>
      </c>
      <c r="C22" s="47"/>
      <c r="E22" s="48" t="s">
        <v>344</v>
      </c>
      <c r="P22" s="779"/>
      <c r="Q22" s="568" t="s">
        <v>311</v>
      </c>
      <c r="R22" s="569">
        <v>0.4</v>
      </c>
      <c r="S22" s="569">
        <v>0.33</v>
      </c>
      <c r="T22" s="570" t="e">
        <f>(R22*#REF!)-(#REF!*R22)*S22</f>
        <v>#REF!</v>
      </c>
      <c r="U22" s="569">
        <v>0.37</v>
      </c>
      <c r="V22" s="570" t="e">
        <f t="shared" ref="V22:V25" si="0">U22*T22</f>
        <v>#REF!</v>
      </c>
      <c r="W22" s="572" t="e">
        <f>V22+V21</f>
        <v>#REF!</v>
      </c>
      <c r="X22" s="574" t="e">
        <f>(W22-$W$22)/$W$22</f>
        <v>#REF!</v>
      </c>
      <c r="Y22" s="570" t="s">
        <v>335</v>
      </c>
      <c r="AC22" s="574" t="e">
        <f>(W22-$W$31)/$W$31</f>
        <v>#REF!</v>
      </c>
    </row>
    <row r="23" spans="1:29" ht="17.149999999999999" customHeight="1" x14ac:dyDescent="0.3">
      <c r="B23" s="48" t="s">
        <v>64</v>
      </c>
      <c r="C23" s="49">
        <v>0.34</v>
      </c>
      <c r="E23" s="48" t="s">
        <v>64</v>
      </c>
      <c r="P23" s="780" t="s">
        <v>319</v>
      </c>
      <c r="Q23" s="565" t="s">
        <v>310</v>
      </c>
      <c r="R23" s="566">
        <v>0.6</v>
      </c>
      <c r="S23" s="565"/>
      <c r="T23" s="567" t="e">
        <f>(R23*#REF!)-(#REF!*R23)*S23</f>
        <v>#REF!</v>
      </c>
      <c r="U23" s="590">
        <f>$G$10</f>
        <v>0.24199999999999999</v>
      </c>
      <c r="V23" s="567" t="e">
        <f t="shared" si="0"/>
        <v>#REF!</v>
      </c>
      <c r="W23" s="565"/>
      <c r="X23" s="575"/>
      <c r="Y23" s="567"/>
      <c r="AC23" s="575"/>
    </row>
    <row r="24" spans="1:29" x14ac:dyDescent="0.3">
      <c r="B24" s="48" t="s">
        <v>174</v>
      </c>
      <c r="C24" s="49">
        <v>0.37</v>
      </c>
      <c r="E24" s="48" t="s">
        <v>340</v>
      </c>
      <c r="P24" s="779"/>
      <c r="Q24" s="568" t="s">
        <v>311</v>
      </c>
      <c r="R24" s="569">
        <v>0.4</v>
      </c>
      <c r="S24" s="569">
        <v>0.33</v>
      </c>
      <c r="T24" s="570" t="e">
        <f>(R24*#REF!)-(#REF!*R24)*S24</f>
        <v>#REF!</v>
      </c>
      <c r="U24" s="569">
        <v>0.4</v>
      </c>
      <c r="V24" s="570" t="e">
        <f t="shared" si="0"/>
        <v>#REF!</v>
      </c>
      <c r="W24" s="572" t="e">
        <f>V24+V23</f>
        <v>#REF!</v>
      </c>
      <c r="X24" s="574" t="e">
        <f>(W24-$W$22)/$W$22</f>
        <v>#REF!</v>
      </c>
      <c r="Y24" s="570" t="s">
        <v>336</v>
      </c>
      <c r="AC24" s="574" t="e">
        <f>(W24-$W$31)/$W$31</f>
        <v>#REF!</v>
      </c>
    </row>
    <row r="25" spans="1:29" ht="52" x14ac:dyDescent="0.3">
      <c r="B25" s="48" t="s">
        <v>338</v>
      </c>
      <c r="C25" s="49">
        <v>0.4</v>
      </c>
      <c r="E25" s="48" t="s">
        <v>339</v>
      </c>
      <c r="P25" s="577" t="s">
        <v>328</v>
      </c>
      <c r="Q25" s="578" t="s">
        <v>310</v>
      </c>
      <c r="R25" s="579">
        <v>0.6</v>
      </c>
      <c r="S25" s="578"/>
      <c r="T25" s="580" t="e">
        <f>(R25*#REF!)-(#REF!*R25)*S25</f>
        <v>#REF!</v>
      </c>
      <c r="U25" s="591">
        <f>$G$10</f>
        <v>0.24199999999999999</v>
      </c>
      <c r="V25" s="580" t="e">
        <f t="shared" si="0"/>
        <v>#REF!</v>
      </c>
      <c r="W25" s="581" t="e">
        <f>V25</f>
        <v>#REF!</v>
      </c>
      <c r="X25" s="574" t="e">
        <f>(W25-$W$22)/$W$22</f>
        <v>#REF!</v>
      </c>
      <c r="Y25" s="580"/>
      <c r="AC25" s="574" t="e">
        <f>(W25-$W$31)/$W$31</f>
        <v>#REF!</v>
      </c>
    </row>
    <row r="26" spans="1:29" ht="39" x14ac:dyDescent="0.3">
      <c r="P26" s="577" t="s">
        <v>329</v>
      </c>
      <c r="Q26" s="578" t="s">
        <v>330</v>
      </c>
      <c r="R26" s="579">
        <v>1</v>
      </c>
      <c r="S26" s="582">
        <v>0.33</v>
      </c>
      <c r="T26" s="580" t="e">
        <f>(R26*#REF!)-(#REF!*R26)*S26</f>
        <v>#REF!</v>
      </c>
      <c r="U26" s="579">
        <v>0.37</v>
      </c>
      <c r="V26" s="580" t="e">
        <f>U26*T26</f>
        <v>#REF!</v>
      </c>
      <c r="W26" s="581" t="e">
        <f>V26</f>
        <v>#REF!</v>
      </c>
      <c r="X26" s="574" t="e">
        <f>(W26-$W$22)/$W$22</f>
        <v>#REF!</v>
      </c>
      <c r="Y26" s="592" t="s">
        <v>334</v>
      </c>
      <c r="AC26" s="582"/>
    </row>
    <row r="27" spans="1:29" ht="42.65" customHeight="1" thickBot="1" x14ac:dyDescent="0.35">
      <c r="B27" s="50" t="s">
        <v>178</v>
      </c>
      <c r="C27" s="50" t="s">
        <v>179</v>
      </c>
      <c r="D27" s="50" t="s">
        <v>180</v>
      </c>
      <c r="E27" s="585" t="s">
        <v>325</v>
      </c>
      <c r="F27" s="50" t="s">
        <v>279</v>
      </c>
      <c r="G27" s="22" t="s">
        <v>264</v>
      </c>
      <c r="P27" s="577" t="s">
        <v>331</v>
      </c>
      <c r="Q27" s="578" t="s">
        <v>311</v>
      </c>
      <c r="R27" s="579">
        <v>1</v>
      </c>
      <c r="S27" s="582">
        <v>0.33</v>
      </c>
      <c r="T27" s="580" t="e">
        <f>(R27*#REF!)-(#REF!*R27)*S27</f>
        <v>#REF!</v>
      </c>
      <c r="U27" s="579">
        <v>0.34</v>
      </c>
      <c r="V27" s="580" t="e">
        <f>U27*T27</f>
        <v>#REF!</v>
      </c>
      <c r="W27" s="581" t="e">
        <f>V27</f>
        <v>#REF!</v>
      </c>
      <c r="X27" s="574" t="e">
        <f>(W27-$W$22)/$W$22</f>
        <v>#REF!</v>
      </c>
      <c r="Y27" s="580" t="s">
        <v>337</v>
      </c>
      <c r="AC27" s="582"/>
    </row>
    <row r="28" spans="1:29" ht="35" thickBot="1" x14ac:dyDescent="0.35">
      <c r="B28" s="60" t="s">
        <v>181</v>
      </c>
      <c r="C28" s="60" t="s">
        <v>182</v>
      </c>
      <c r="D28" s="584" t="s">
        <v>322</v>
      </c>
      <c r="E28" s="60" t="s">
        <v>324</v>
      </c>
      <c r="F28" s="65" t="s">
        <v>280</v>
      </c>
    </row>
    <row r="29" spans="1:29" ht="23.5" thickBot="1" x14ac:dyDescent="0.35">
      <c r="B29" s="60" t="s">
        <v>308</v>
      </c>
      <c r="C29" s="60" t="s">
        <v>307</v>
      </c>
      <c r="D29" s="60" t="s">
        <v>260</v>
      </c>
      <c r="E29" s="584" t="s">
        <v>323</v>
      </c>
      <c r="F29" s="66" t="s">
        <v>281</v>
      </c>
    </row>
    <row r="30" spans="1:29" x14ac:dyDescent="0.3">
      <c r="B30" s="60" t="s">
        <v>278</v>
      </c>
      <c r="C30" s="60" t="s">
        <v>188</v>
      </c>
      <c r="D30" s="60" t="s">
        <v>262</v>
      </c>
      <c r="E30" s="60" t="s">
        <v>277</v>
      </c>
      <c r="F30" s="60" t="s">
        <v>261</v>
      </c>
    </row>
    <row r="31" spans="1:29" ht="26" x14ac:dyDescent="0.3">
      <c r="B31" s="60" t="s">
        <v>183</v>
      </c>
      <c r="C31" s="60" t="s">
        <v>183</v>
      </c>
      <c r="D31" s="60" t="s">
        <v>275</v>
      </c>
      <c r="E31" s="60" t="s">
        <v>186</v>
      </c>
      <c r="F31" s="61"/>
      <c r="P31" s="573" t="s">
        <v>320</v>
      </c>
      <c r="Q31" s="565" t="s">
        <v>310</v>
      </c>
      <c r="R31" s="566">
        <v>1</v>
      </c>
      <c r="S31" s="565"/>
      <c r="T31" s="567" t="e">
        <f>(R31*#REF!)-(#REF!*R31)*S31</f>
        <v>#REF!</v>
      </c>
      <c r="U31" s="590">
        <f>$G$10</f>
        <v>0.24199999999999999</v>
      </c>
      <c r="V31" s="567" t="e">
        <f>U31*T31</f>
        <v>#REF!</v>
      </c>
      <c r="W31" s="571" t="e">
        <f>V31</f>
        <v>#REF!</v>
      </c>
      <c r="X31" s="574" t="e">
        <f>(W31-$W$25)/$W$25</f>
        <v>#REF!</v>
      </c>
      <c r="Y31" s="575"/>
    </row>
    <row r="32" spans="1:29" x14ac:dyDescent="0.3">
      <c r="B32" s="60" t="s">
        <v>184</v>
      </c>
      <c r="C32" s="60" t="s">
        <v>197</v>
      </c>
      <c r="D32" s="61" t="s">
        <v>261</v>
      </c>
      <c r="E32" s="60" t="s">
        <v>187</v>
      </c>
      <c r="F32" s="60"/>
    </row>
    <row r="33" spans="2:14" x14ac:dyDescent="0.3">
      <c r="B33" s="60" t="s">
        <v>263</v>
      </c>
      <c r="C33" s="60" t="s">
        <v>185</v>
      </c>
      <c r="D33" s="61"/>
      <c r="E33" s="61" t="s">
        <v>261</v>
      </c>
      <c r="F33" s="60"/>
    </row>
    <row r="34" spans="2:14" x14ac:dyDescent="0.3">
      <c r="B34" s="61" t="s">
        <v>261</v>
      </c>
      <c r="C34" s="61" t="s">
        <v>261</v>
      </c>
      <c r="D34" s="60"/>
      <c r="E34" s="60"/>
      <c r="F34" s="60"/>
    </row>
    <row r="36" spans="2:14" x14ac:dyDescent="0.3">
      <c r="B36" s="47" t="s">
        <v>189</v>
      </c>
      <c r="D36" s="47" t="s">
        <v>269</v>
      </c>
    </row>
    <row r="37" spans="2:14" ht="31" x14ac:dyDescent="0.3">
      <c r="B37" s="53" t="s">
        <v>190</v>
      </c>
      <c r="D37" s="53" t="s">
        <v>270</v>
      </c>
    </row>
    <row r="38" spans="2:14" ht="31" x14ac:dyDescent="0.3">
      <c r="B38" s="53" t="s">
        <v>191</v>
      </c>
      <c r="D38" s="53" t="s">
        <v>201</v>
      </c>
    </row>
    <row r="39" spans="2:14" x14ac:dyDescent="0.3">
      <c r="B39" s="62" t="s">
        <v>264</v>
      </c>
      <c r="D39" s="62" t="s">
        <v>264</v>
      </c>
    </row>
    <row r="41" spans="2:14" x14ac:dyDescent="0.3">
      <c r="B41" s="47" t="s">
        <v>156</v>
      </c>
      <c r="D41" s="22" t="s">
        <v>194</v>
      </c>
    </row>
    <row r="42" spans="2:14" x14ac:dyDescent="0.3">
      <c r="B42" s="53" t="s">
        <v>192</v>
      </c>
      <c r="D42" s="22" t="s">
        <v>228</v>
      </c>
    </row>
    <row r="43" spans="2:14" x14ac:dyDescent="0.3">
      <c r="B43" s="53" t="s">
        <v>193</v>
      </c>
      <c r="D43" s="22" t="s">
        <v>227</v>
      </c>
    </row>
    <row r="44" spans="2:14" x14ac:dyDescent="0.3">
      <c r="B44" s="62" t="s">
        <v>264</v>
      </c>
      <c r="D44" s="22" t="s">
        <v>264</v>
      </c>
    </row>
    <row r="46" spans="2:14" ht="20" x14ac:dyDescent="0.3">
      <c r="B46" s="54" t="s">
        <v>225</v>
      </c>
      <c r="D46" s="643" t="s">
        <v>364</v>
      </c>
      <c r="E46" s="633"/>
      <c r="F46" s="633"/>
      <c r="G46" s="633"/>
      <c r="H46" s="638"/>
      <c r="I46" s="633"/>
      <c r="J46" s="644" t="s">
        <v>191</v>
      </c>
      <c r="K46" s="633"/>
      <c r="L46" s="633"/>
      <c r="M46" s="633"/>
      <c r="N46" s="634"/>
    </row>
    <row r="47" spans="2:14" x14ac:dyDescent="0.3">
      <c r="B47" s="55" t="s">
        <v>230</v>
      </c>
      <c r="D47" s="640" t="s">
        <v>178</v>
      </c>
      <c r="E47" s="636"/>
      <c r="F47" s="636"/>
      <c r="G47" s="39" t="s">
        <v>365</v>
      </c>
      <c r="H47" s="641"/>
      <c r="I47" s="39"/>
      <c r="J47" s="642" t="s">
        <v>366</v>
      </c>
      <c r="K47" s="39"/>
      <c r="L47" s="39"/>
      <c r="M47" s="39" t="s">
        <v>365</v>
      </c>
      <c r="N47" s="24"/>
    </row>
    <row r="48" spans="2:14" x14ac:dyDescent="0.35">
      <c r="B48" s="56" t="s">
        <v>233</v>
      </c>
      <c r="D48" s="635"/>
      <c r="E48" s="636"/>
      <c r="F48" s="636"/>
      <c r="G48" s="39"/>
      <c r="H48" s="641"/>
      <c r="I48" s="39"/>
      <c r="J48" s="642"/>
      <c r="K48" s="39"/>
      <c r="L48" s="39"/>
      <c r="M48" s="39"/>
      <c r="N48" s="24"/>
    </row>
    <row r="49" spans="2:14" x14ac:dyDescent="0.35">
      <c r="B49" s="57" t="s">
        <v>23</v>
      </c>
      <c r="D49" s="635"/>
      <c r="E49" s="636"/>
      <c r="F49" s="636"/>
      <c r="G49" s="39"/>
      <c r="H49" s="641"/>
      <c r="I49" s="39"/>
      <c r="J49" s="642"/>
      <c r="K49" s="39"/>
      <c r="L49" s="39"/>
      <c r="M49" s="39"/>
      <c r="N49" s="24"/>
    </row>
    <row r="50" spans="2:14" ht="31" x14ac:dyDescent="0.35">
      <c r="B50" s="57" t="s">
        <v>30</v>
      </c>
      <c r="D50" s="470" t="s">
        <v>362</v>
      </c>
      <c r="E50" s="473" t="s">
        <v>287</v>
      </c>
      <c r="F50" s="636"/>
      <c r="G50" s="470" t="s">
        <v>362</v>
      </c>
      <c r="H50" s="639" t="s">
        <v>287</v>
      </c>
      <c r="I50" s="636"/>
      <c r="J50" s="473" t="s">
        <v>362</v>
      </c>
      <c r="K50" s="473" t="s">
        <v>363</v>
      </c>
      <c r="L50" s="636"/>
      <c r="M50" s="473" t="s">
        <v>362</v>
      </c>
      <c r="N50" s="473" t="s">
        <v>287</v>
      </c>
    </row>
    <row r="51" spans="2:14" x14ac:dyDescent="0.35">
      <c r="B51" s="57" t="s">
        <v>24</v>
      </c>
      <c r="D51" s="470" t="s">
        <v>360</v>
      </c>
      <c r="E51" s="473" t="s">
        <v>53</v>
      </c>
      <c r="F51" s="636"/>
      <c r="G51" s="470" t="s">
        <v>360</v>
      </c>
      <c r="H51" s="639" t="s">
        <v>53</v>
      </c>
      <c r="I51" s="636"/>
      <c r="J51" s="473" t="str">
        <f>IF(Erfolgsrechnung!M10&gt;0,"Verkaufspreis"&amp;" "&amp;Erfolgsrechnung!A10,"")</f>
        <v/>
      </c>
      <c r="K51" s="473" t="str">
        <f>IF(Erfolgsrechnung!M10&gt;0,"CHF/Einheit","")</f>
        <v/>
      </c>
      <c r="L51" s="636"/>
      <c r="M51" s="473" t="str">
        <f>IF(Erfolgsrechnung!M10&gt;0,"Verkaufspreis"&amp;" "&amp;Erfolgsrechnung!A10,"")</f>
        <v/>
      </c>
      <c r="N51" s="473" t="str">
        <f>IF(Erfolgsrechnung!M10&gt;0,"CHF/Einheit","")</f>
        <v/>
      </c>
    </row>
    <row r="52" spans="2:14" ht="31" x14ac:dyDescent="0.35">
      <c r="B52" s="57" t="s">
        <v>22</v>
      </c>
      <c r="D52" s="473" t="s">
        <v>60</v>
      </c>
      <c r="E52" s="473" t="s">
        <v>400</v>
      </c>
      <c r="F52" s="636"/>
      <c r="G52" s="473" t="s">
        <v>60</v>
      </c>
      <c r="H52" s="639" t="s">
        <v>400</v>
      </c>
      <c r="I52" s="636"/>
      <c r="J52" s="473" t="str">
        <f>IF(Erfolgsrechnung!O10&gt;0,"Menge"&amp;" "&amp;Erfolgsrechnung!A10,"")</f>
        <v/>
      </c>
      <c r="K52" s="473" t="str">
        <f>IF(Erfolgsrechnung!O10&gt;0,"zu definieren","")</f>
        <v/>
      </c>
      <c r="L52" s="636"/>
      <c r="M52" s="473" t="str">
        <f>IF(Erfolgsrechnung!M10&gt;0,"Menge"&amp;" "&amp;Erfolgsrechnung!A10,"")</f>
        <v/>
      </c>
      <c r="N52" s="473" t="str">
        <f>IF(Erfolgsrechnung!M10&gt;0,"zu definieren","")</f>
        <v/>
      </c>
    </row>
    <row r="53" spans="2:14" x14ac:dyDescent="0.35">
      <c r="B53" s="57" t="s">
        <v>26</v>
      </c>
      <c r="D53" s="473" t="str">
        <f>IF(Erfolgsrechnung!M10&gt;0,"Verkaufspreis"&amp;" "&amp;Erfolgsrechnung!A10,"")</f>
        <v/>
      </c>
      <c r="E53" s="473" t="str">
        <f>IF(Erfolgsrechnung!M10&gt;0,"CHF/Einheit","")</f>
        <v/>
      </c>
      <c r="F53" s="637"/>
      <c r="G53" s="473" t="str">
        <f>IF(Erfolgsrechnung!M10&gt;0,"Verkaufspreis"&amp;" "&amp;Erfolgsrechnung!A10,"")</f>
        <v/>
      </c>
      <c r="H53" s="473" t="str">
        <f>IF(Erfolgsrechnung!M10&gt;0,"CHF/Einheit","")</f>
        <v/>
      </c>
      <c r="I53" s="637"/>
      <c r="J53" s="473" t="str">
        <f>IF(Erfolgsrechnung!M11&gt;0,"Verkaufspreis"&amp;" "&amp;Erfolgsrechnung!A11,"")</f>
        <v/>
      </c>
      <c r="K53" s="473" t="str">
        <f>IF(Erfolgsrechnung!M11&gt;0,"CHF/Einheit","")</f>
        <v/>
      </c>
      <c r="L53" s="637"/>
      <c r="M53" s="473" t="str">
        <f>IF(Erfolgsrechnung!M20&gt;0,"Rohstoffpreis"&amp;" "&amp;Erfolgsrechnung!A20,"")</f>
        <v/>
      </c>
      <c r="N53" s="473" t="str">
        <f>IF(Erfolgsrechnung!M20&gt;0,"CHF/Einheit","")</f>
        <v/>
      </c>
    </row>
    <row r="54" spans="2:14" x14ac:dyDescent="0.3">
      <c r="C54" s="645"/>
      <c r="D54" s="473" t="str">
        <f>IF(Erfolgsrechnung!O10&gt;0,"Menge"&amp;" "&amp;Erfolgsrechnung!A10,"")</f>
        <v/>
      </c>
      <c r="E54" s="473" t="str">
        <f>IF(Erfolgsrechnung!O10&gt;0,"zu definieren","")</f>
        <v/>
      </c>
      <c r="G54" s="473" t="str">
        <f>IF(Erfolgsrechnung!O10&gt;0,"Menge"&amp;" "&amp;Erfolgsrechnung!A10,"")</f>
        <v/>
      </c>
      <c r="H54" s="473" t="str">
        <f>IF(Erfolgsrechnung!O10&gt;0,"zu definieren","")</f>
        <v/>
      </c>
      <c r="J54" s="473" t="str">
        <f>IF(Erfolgsrechnung!O11&gt;0,"Menge"&amp;" "&amp;Erfolgsrechnung!A11,"")</f>
        <v/>
      </c>
      <c r="K54" s="473" t="str">
        <f>IF(Erfolgsrechnung!O11&gt;0,"zu definieren","")</f>
        <v/>
      </c>
      <c r="M54" s="473" t="str">
        <f>IF(Erfolgsrechnung!O11&gt;0,"Verkaufspreis"&amp;" "&amp;Erfolgsrechnung!A11,"")</f>
        <v/>
      </c>
      <c r="N54" s="473" t="str">
        <f>IF(Erfolgsrechnung!M11&gt;0,"CHF/Einheit","")</f>
        <v/>
      </c>
    </row>
    <row r="55" spans="2:14" x14ac:dyDescent="0.3">
      <c r="B55" s="50" t="s">
        <v>226</v>
      </c>
      <c r="D55" s="473" t="str">
        <f>IF(Erfolgsrechnung!M11&gt;0,"Verkaufspreis"&amp;" "&amp;Erfolgsrechnung!A11,"")</f>
        <v/>
      </c>
      <c r="E55" s="473" t="str">
        <f>IF(Erfolgsrechnung!M11&gt;0,"CHF/Einheit","")</f>
        <v/>
      </c>
      <c r="G55" s="473" t="str">
        <f>IF(Erfolgsrechnung!M20&gt;0,"Rohstoffpreis"&amp;" "&amp;Erfolgsrechnung!A20,"")</f>
        <v/>
      </c>
      <c r="H55" s="473" t="str">
        <f>IF(Erfolgsrechnung!M20&gt;0,"CHF/Einheit","")</f>
        <v/>
      </c>
      <c r="I55" s="22" t="s">
        <v>361</v>
      </c>
      <c r="J55" s="473" t="str">
        <f>IF(Erfolgsrechnung!M12&gt;0,"Verkaufspreis"&amp;" "&amp;Erfolgsrechnung!A12,"")</f>
        <v/>
      </c>
      <c r="K55" s="473" t="str">
        <f>IF(Erfolgsrechnung!M12&gt;0,"CHF/Einheit","")</f>
        <v/>
      </c>
      <c r="M55" s="473" t="str">
        <f>IF(Erfolgsrechnung!O11&gt;0,"Menge"&amp;" "&amp;Erfolgsrechnung!A11,"")</f>
        <v/>
      </c>
      <c r="N55" s="473" t="str">
        <f>IF(Erfolgsrechnung!O11&gt;0,"zu definieren","")</f>
        <v/>
      </c>
    </row>
    <row r="56" spans="2:14" x14ac:dyDescent="0.3">
      <c r="B56" s="58" t="s">
        <v>231</v>
      </c>
      <c r="D56" s="473" t="str">
        <f>IF(Erfolgsrechnung!O11&gt;0,"Menge"&amp;" "&amp;Erfolgsrechnung!A11,"")</f>
        <v/>
      </c>
      <c r="E56" s="473" t="str">
        <f>IF(Erfolgsrechnung!O11&gt;0,"zu definieren","")</f>
        <v/>
      </c>
      <c r="G56" s="473" t="str">
        <f>IF(Erfolgsrechnung!M11&gt;0,"Verkaufspreis"&amp;" "&amp;Erfolgsrechnung!A11,"")</f>
        <v/>
      </c>
      <c r="H56" s="473" t="str">
        <f>IF(Erfolgsrechnung!M11&gt;0,"CHF/Einheit","")</f>
        <v/>
      </c>
      <c r="I56" s="22" t="s">
        <v>361</v>
      </c>
      <c r="J56" s="473" t="str">
        <f>IF(Erfolgsrechnung!O12&gt;0,"Menge"&amp;" "&amp;Erfolgsrechnung!A12,"")</f>
        <v/>
      </c>
      <c r="K56" s="473" t="str">
        <f>IF(Erfolgsrechnung!O12&gt;0,"zu definieren","")</f>
        <v/>
      </c>
      <c r="M56" s="473" t="str">
        <f>IF(Erfolgsrechnung!M21&gt;0,"Rohstoffpreis"&amp;" "&amp;Erfolgsrechnung!A21,"")</f>
        <v/>
      </c>
      <c r="N56" s="473" t="str">
        <f>IF(Erfolgsrechnung!M21&gt;0,"CHF/Einheit","")</f>
        <v/>
      </c>
    </row>
    <row r="57" spans="2:14" x14ac:dyDescent="0.3">
      <c r="B57" s="51" t="s">
        <v>192</v>
      </c>
      <c r="D57" s="473" t="str">
        <f>IF(Erfolgsrechnung!M12&gt;0,"Verkaufspreis"&amp;" "&amp;Erfolgsrechnung!A12,"")</f>
        <v/>
      </c>
      <c r="E57" s="473" t="str">
        <f>IF(Erfolgsrechnung!M12&gt;0,"CHF/Einheit","")</f>
        <v/>
      </c>
      <c r="G57" s="473" t="str">
        <f>IF(Erfolgsrechnung!O11&gt;0,"Menge"&amp;" "&amp;Erfolgsrechnung!A11,"")</f>
        <v/>
      </c>
      <c r="H57" s="473" t="str">
        <f>IF(Erfolgsrechnung!O11&gt;0,"zu definieren","")</f>
        <v/>
      </c>
      <c r="M57" s="473" t="str">
        <f>IF(Erfolgsrechnung!M12&gt;0,"Verkaufspreis"&amp;" "&amp;Erfolgsrechnung!A12,"")</f>
        <v/>
      </c>
      <c r="N57" s="473" t="str">
        <f>IF(Erfolgsrechnung!M12&gt;0,"CHF/Einheit","")</f>
        <v/>
      </c>
    </row>
    <row r="58" spans="2:14" x14ac:dyDescent="0.3">
      <c r="B58" s="52" t="s">
        <v>193</v>
      </c>
      <c r="D58" s="473" t="str">
        <f>IF(Erfolgsrechnung!O12&gt;0,"Menge"&amp;" "&amp;Erfolgsrechnung!A12,"")</f>
        <v/>
      </c>
      <c r="E58" s="473" t="str">
        <f>IF(Erfolgsrechnung!O12&gt;0,"zu definieren","")</f>
        <v/>
      </c>
      <c r="G58" s="473" t="str">
        <f>IF(Erfolgsrechnung!M21&gt;0,"Rohstoffpreis"&amp;" "&amp;Erfolgsrechnung!A21,"")</f>
        <v/>
      </c>
      <c r="H58" s="473" t="str">
        <f>IF(Erfolgsrechnung!M21&gt;0,"CHF/Einheit","")</f>
        <v/>
      </c>
      <c r="M58" s="473" t="str">
        <f>IF(Erfolgsrechnung!O12&gt;0,"Menge"&amp;" "&amp;Erfolgsrechnung!A12,"")</f>
        <v/>
      </c>
      <c r="N58" s="473" t="str">
        <f>IF(Erfolgsrechnung!O12&gt;0,"zu definieren","")</f>
        <v/>
      </c>
    </row>
    <row r="59" spans="2:14" x14ac:dyDescent="0.3">
      <c r="B59" s="63" t="s">
        <v>265</v>
      </c>
      <c r="G59" s="473" t="str">
        <f>IF(Erfolgsrechnung!M12&gt;0,"Verkaufspreis"&amp;" "&amp;Erfolgsrechnung!A12,"")</f>
        <v/>
      </c>
      <c r="H59" s="473" t="str">
        <f>IF(Erfolgsrechnung!M12&gt;0,"CHF/Einheit","")</f>
        <v/>
      </c>
      <c r="M59" s="473" t="str">
        <f>IF(Erfolgsrechnung!M22&gt;0,"Rohstoffpreis"&amp;" "&amp;Erfolgsrechnung!A22,"")</f>
        <v/>
      </c>
      <c r="N59" s="473" t="str">
        <f>IF(Erfolgsrechnung!M22&gt;0,"CHF/Einheit","")</f>
        <v/>
      </c>
    </row>
    <row r="60" spans="2:14" x14ac:dyDescent="0.3">
      <c r="G60" s="473" t="str">
        <f>IF(Erfolgsrechnung!O12&gt;0,"Menge"&amp;" "&amp;Erfolgsrechnung!A12,"")</f>
        <v/>
      </c>
      <c r="H60" s="473" t="str">
        <f>IF(Erfolgsrechnung!O12&gt;0,"zu definieren","")</f>
        <v/>
      </c>
    </row>
    <row r="61" spans="2:14" x14ac:dyDescent="0.3">
      <c r="G61" s="473" t="str">
        <f>IF(Erfolgsrechnung!M22&gt;0,"Rohstoffpreis"&amp;" "&amp;Erfolgsrechnung!A22,"")</f>
        <v/>
      </c>
      <c r="H61" s="473" t="str">
        <f>IF(Erfolgsrechnung!M22&gt;0,"CHF/Einheit","")</f>
        <v/>
      </c>
    </row>
  </sheetData>
  <sheetProtection insertColumns="0" insertRows="0" insertHyperlinks="0"/>
  <mergeCells count="3">
    <mergeCell ref="C5:D5"/>
    <mergeCell ref="P21:P22"/>
    <mergeCell ref="P23:P24"/>
  </mergeCells>
  <pageMargins left="0.7" right="0.7" top="0.78740157499999996" bottom="0.78740157499999996" header="0.3" footer="0.3"/>
  <pageSetup paperSize="9" scale="43"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Übersicht TP </vt:lpstr>
      <vt:lpstr>Erfolgsrechnung</vt:lpstr>
      <vt:lpstr>Finanzierung</vt:lpstr>
      <vt:lpstr>Cashflow Übersicht</vt:lpstr>
      <vt:lpstr>CME</vt:lpstr>
      <vt:lpstr>Beispiel Annahmen</vt:lpstr>
      <vt:lpstr>Dropdown input</vt:lpstr>
      <vt:lpstr>'Beispiel Annahmen'!Druckbereich</vt:lpstr>
      <vt:lpstr>'Dropdown input'!Druckbereich</vt:lpstr>
      <vt:lpstr>Erfolgsrechnung!Druckbereich</vt:lpstr>
      <vt:lpstr>Finanzierung!Druckbereich</vt:lpstr>
      <vt:lpstr>'Übersicht TP '!Druckbereich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2021-01-13T11:58:06Z</cp:lastPrinted>
  <dcterms:created xsi:type="dcterms:W3CDTF">2020-03-06T14:56:44Z</dcterms:created>
  <dcterms:modified xsi:type="dcterms:W3CDTF">2023-04-19T07:08:46Z</dcterms:modified>
</cp:coreProperties>
</file>