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521" windowWidth="14400" windowHeight="6855" activeTab="0"/>
  </bookViews>
  <sheets>
    <sheet name="README" sheetId="1" r:id="rId1"/>
    <sheet name="Bilanz-bilan" sheetId="2" r:id="rId2"/>
    <sheet name="Daten" sheetId="3" state="hidden" r:id="rId3"/>
    <sheet name="budget_partiel" sheetId="4" state="hidden" r:id="rId4"/>
    <sheet name="Texte" sheetId="5" state="hidden" r:id="rId5"/>
    <sheet name="Korr" sheetId="6" state="hidden" r:id="rId6"/>
  </sheets>
  <definedNames>
    <definedName name="AusblendSpalten" localSheetId="1">'Bilanz-bilan'!$T:$AF</definedName>
    <definedName name="AusblendSpalten" localSheetId="0">'README'!$I:$O</definedName>
    <definedName name="AusblendZeilen" localSheetId="1">'Bilanz-bilan'!$256:$311</definedName>
    <definedName name="_xlnm.Print_Area" localSheetId="1">'Bilanz-bilan'!$B$2:$S$184</definedName>
    <definedName name="_xlnm.Print_Area" localSheetId="3">'budget_partiel'!$A$1:$M$57</definedName>
    <definedName name="_xlnm.Print_Area" localSheetId="0">'README'!$A$1:$X$95</definedName>
    <definedName name="ID">"nicht identifiziert"</definedName>
    <definedName name="MuKuCoverTopLeft" localSheetId="1">'Bilanz-bilan'!$O$94</definedName>
    <definedName name="SprachIdx" localSheetId="4">'Texte'!$A$2</definedName>
    <definedName name="Startzelle" localSheetId="1">'Bilanz-bilan'!$A$1</definedName>
    <definedName name="Startzelle" localSheetId="3">'budget_partiel'!$A$1</definedName>
    <definedName name="StartZelle" localSheetId="5">'Korr'!A1</definedName>
    <definedName name="Startzelle" localSheetId="0">'README'!$A$1</definedName>
    <definedName name="Startzelle" localSheetId="4">'Texte'!$A$1</definedName>
    <definedName name="Z_AB7369C7_DE08_4AD5_A530_2D676F998F11_.wvu.Cols" localSheetId="1" hidden="1">'Bilanz-bilan'!$AH:$AJ</definedName>
    <definedName name="Z_AB7369C7_DE08_4AD5_A530_2D676F998F11_.wvu.Cols" localSheetId="2" hidden="1">'Daten'!#REF!</definedName>
    <definedName name="Z_AB7369C7_DE08_4AD5_A530_2D676F998F11_.wvu.PrintArea" localSheetId="1" hidden="1">'Bilanz-bilan'!$A$2:$AJ$183</definedName>
    <definedName name="Z_AB7369C7_DE08_4AD5_A530_2D676F998F11_.wvu.PrintArea" localSheetId="2" hidden="1">'Daten'!$A$1:$F$7</definedName>
    <definedName name="Z_AB7369C7_DE08_4AD5_A530_2D676F998F11_.wvu.PrintTitles" localSheetId="2" hidden="1">'Daten'!$4:$7</definedName>
  </definedNames>
  <calcPr fullCalcOnLoad="1"/>
</workbook>
</file>

<file path=xl/sharedStrings.xml><?xml version="1.0" encoding="utf-8"?>
<sst xmlns="http://schemas.openxmlformats.org/spreadsheetml/2006/main" count="1581" uniqueCount="1282">
  <si>
    <t>(A4+A7 en MS)</t>
  </si>
  <si>
    <t>(A4+A7 in SS)</t>
  </si>
  <si>
    <t>GMF_88bis90</t>
  </si>
  <si>
    <t>Konsultationsentwurf Sömmerung</t>
  </si>
  <si>
    <t>GMF_91</t>
  </si>
  <si>
    <t>nicht ausgeliefert</t>
  </si>
  <si>
    <t>Sömmerung eingefügt</t>
  </si>
  <si>
    <t>3 neue Spalten --&gt;5 Spalten Sömmerung
neue Zwischentotal (4 neue Zeilen)
Milchschafe und Ziegenplatz  fix einfügen, Listen entsprechend korrigieren
Bilanz: 2 neue Linien, Texte anpassen
Versionsnummer ändern</t>
  </si>
  <si>
    <t>1.2Test</t>
  </si>
  <si>
    <t>Biologischer Landbau</t>
  </si>
  <si>
    <t>Culture biologique</t>
  </si>
  <si>
    <t>Fütterung von Kartoffeln oder Futterrüben?</t>
  </si>
  <si>
    <t>ad libitum-Fütterung?</t>
  </si>
  <si>
    <t>Affouragement libre service?</t>
  </si>
  <si>
    <t>ja</t>
  </si>
  <si>
    <t>oui</t>
  </si>
  <si>
    <t>nein</t>
  </si>
  <si>
    <t>non</t>
  </si>
  <si>
    <t>Tierart bzw. Tierkategorie</t>
  </si>
  <si>
    <t>corrigé</t>
  </si>
  <si>
    <t>[+] Achats</t>
  </si>
  <si>
    <t>[-] Ventes</t>
  </si>
  <si>
    <t>Bilan</t>
  </si>
  <si>
    <t>Ort und Datum:</t>
  </si>
  <si>
    <t>Unterschrift:</t>
  </si>
  <si>
    <t xml:space="preserve">Lieu et date: </t>
  </si>
  <si>
    <t xml:space="preserve">Signature: </t>
  </si>
  <si>
    <t>Consommation totale</t>
  </si>
  <si>
    <t>Menge GF für Kuh &amp; Kalb &gt; Menge GF produziert auf Betrieb</t>
  </si>
  <si>
    <t>Menge GF für Kuh &amp; Kalb &gt; Menge GF zugeführt/prod. ausserh. FF</t>
  </si>
  <si>
    <t xml:space="preserve">Bilan des fourrages pour la production </t>
  </si>
  <si>
    <t>de lait et de viande basée sur les herbages</t>
  </si>
  <si>
    <t>Anleitung</t>
  </si>
  <si>
    <t>GMF_97</t>
  </si>
  <si>
    <t>KF erfassung MiK als dt; Version Auflage SuiBi 1.12, Version GMF 1.3</t>
  </si>
  <si>
    <t>Grundfutter</t>
  </si>
  <si>
    <t>Autres fourrages</t>
  </si>
  <si>
    <t>altri foraggi di base</t>
  </si>
  <si>
    <t>grüne Zellen:</t>
  </si>
  <si>
    <t>gelbe Zeilen:</t>
  </si>
  <si>
    <t xml:space="preserve">weisse Zellen: </t>
  </si>
  <si>
    <t>gesperrte Zellen</t>
  </si>
  <si>
    <t>Vorgehen:</t>
  </si>
  <si>
    <t>Teil C: Zu- und Wegfuhr Grundfutter</t>
  </si>
  <si>
    <t>stand.</t>
  </si>
  <si>
    <t>Surf.</t>
  </si>
  <si>
    <t>Quant.</t>
  </si>
  <si>
    <t>dt TS/ha</t>
  </si>
  <si>
    <t>Stand.</t>
  </si>
  <si>
    <t>pro Einh.</t>
  </si>
  <si>
    <t>keine</t>
  </si>
  <si>
    <t>aucune</t>
  </si>
  <si>
    <t>No d'exploitation</t>
  </si>
  <si>
    <t>Surf. agricole utile</t>
  </si>
  <si>
    <t>Grundsatz: Übereinstimmung mit Suisse-Bilanz muss sein</t>
  </si>
  <si>
    <t>Tierkategorie</t>
  </si>
  <si>
    <t>Grassilage</t>
  </si>
  <si>
    <t>Ensilage d'herbe</t>
  </si>
  <si>
    <t>Gemeinschaft / ein Betrieb</t>
  </si>
  <si>
    <t>Communauté / une exploitation</t>
  </si>
  <si>
    <t>mit 2 Betrieben</t>
  </si>
  <si>
    <t>avec 2 exploitations</t>
  </si>
  <si>
    <t>mit 3 Betrieben</t>
  </si>
  <si>
    <t>unité</t>
  </si>
  <si>
    <t>Facteur</t>
  </si>
  <si>
    <t>Bedarf</t>
  </si>
  <si>
    <t>Höhe über Meer</t>
  </si>
  <si>
    <t>Altitude</t>
  </si>
  <si>
    <t>Produktionsform</t>
  </si>
  <si>
    <t>Mode d'exploitation</t>
  </si>
  <si>
    <t>Gemeinschaft</t>
  </si>
  <si>
    <t>Communauté</t>
  </si>
  <si>
    <t>Landw. Nutzfläche</t>
  </si>
  <si>
    <t>Einheit</t>
  </si>
  <si>
    <t>dt TS</t>
  </si>
  <si>
    <t>Jungvieh, 0 bis 1-jährig</t>
  </si>
  <si>
    <t>Jungvieh, 1 bis 2-jährig</t>
  </si>
  <si>
    <t>Rinder &gt;2-jährig</t>
  </si>
  <si>
    <t>Rindviehmast Tränker &lt; 4 Mte.</t>
  </si>
  <si>
    <t>Rindviehmast Weidemast &gt; 4 Monate</t>
  </si>
  <si>
    <t>Milchschafe (inkl.Jungtiere)</t>
  </si>
  <si>
    <t>pro Jahr</t>
  </si>
  <si>
    <t>UGBFG/ha herb.</t>
  </si>
  <si>
    <t>übriges GF</t>
  </si>
  <si>
    <t>Bilanz</t>
  </si>
  <si>
    <t>Grenzwert</t>
  </si>
  <si>
    <t>Farben</t>
  </si>
  <si>
    <t>Code</t>
  </si>
  <si>
    <t>Variante</t>
  </si>
  <si>
    <t>Grünmais</t>
  </si>
  <si>
    <t>Normes animaux</t>
  </si>
  <si>
    <t>de fourrage</t>
  </si>
  <si>
    <t>MS/jour</t>
  </si>
  <si>
    <t>Autruche plus de 13 mois</t>
  </si>
  <si>
    <t>Autruche jusqu'à 13 mois</t>
  </si>
  <si>
    <t>Porcelet sevré jusqu'à 25-30 kg</t>
  </si>
  <si>
    <t/>
  </si>
  <si>
    <t>Grundfuttertyp</t>
  </si>
  <si>
    <t>CCM (für Rindviehmast)</t>
  </si>
  <si>
    <t>wenig intensiv (1-3 Nutzungen)</t>
  </si>
  <si>
    <t>mittelintensiv (1-4 Nutzungen)</t>
  </si>
  <si>
    <t>intensive (2-6 Nutzungen)</t>
  </si>
  <si>
    <t>120</t>
  </si>
  <si>
    <t>10-25</t>
  </si>
  <si>
    <t>zur Dateneingabe</t>
  </si>
  <si>
    <t>Conseils d'utilisation</t>
  </si>
  <si>
    <t>Cases vertes:</t>
  </si>
  <si>
    <t>Cases jaunes:</t>
  </si>
  <si>
    <t>Bovin à l'engrais finition (intensive)</t>
  </si>
  <si>
    <t>Taureau d'élevage</t>
  </si>
  <si>
    <t>Jument avec poulain</t>
  </si>
  <si>
    <t>Agneau engraissé au pâturage</t>
  </si>
  <si>
    <t>Brebis laitière, y c. agneaux et part de bélier</t>
  </si>
  <si>
    <t>Alpaga moins de 2 ans</t>
  </si>
  <si>
    <t>Truie non allaitante</t>
  </si>
  <si>
    <t>Truie non allaitante, par rotation</t>
  </si>
  <si>
    <t>Truie allaitante, y c. porcelets</t>
  </si>
  <si>
    <t>Truie allaitante, y c. porcelets, par rotation</t>
  </si>
  <si>
    <t>Verrat</t>
  </si>
  <si>
    <t>Lapine mère (y c. petits jusqu'à env. 35 jours)</t>
  </si>
  <si>
    <t>Sprache</t>
  </si>
  <si>
    <t>Deutsch</t>
  </si>
  <si>
    <t>Français</t>
  </si>
  <si>
    <t>Italiano</t>
  </si>
  <si>
    <t>Sprache:</t>
  </si>
  <si>
    <t>Langue:</t>
  </si>
  <si>
    <t>Lingua:</t>
  </si>
  <si>
    <t>GVE</t>
  </si>
  <si>
    <t>UGB</t>
  </si>
  <si>
    <t>Zu- und Wegfuhr von Grundfutter und Grundfutterproduktion ausserhalb der Futterfläche (FF)</t>
  </si>
  <si>
    <t>dt FS</t>
  </si>
  <si>
    <t>dt MF</t>
  </si>
  <si>
    <t>MS</t>
  </si>
  <si>
    <t>Wegfuhr</t>
  </si>
  <si>
    <t>Zufuhr</t>
  </si>
  <si>
    <t>Dürrfutter</t>
  </si>
  <si>
    <t>Dürrfutter, "nährstoffarm"</t>
  </si>
  <si>
    <t>dt TS)</t>
  </si>
  <si>
    <t>Total Netto-Grundfutterbedarf</t>
  </si>
  <si>
    <t>Total auf der Futterfläche zu produzierendes Grundfutter (GFprod)</t>
  </si>
  <si>
    <t>(120*0.1+245*0.3+60*0.4)/365</t>
  </si>
  <si>
    <t>(95*0.3+135*0.4)/365</t>
  </si>
  <si>
    <t>(120*0.1+245*0.3)/365</t>
  </si>
  <si>
    <t>(120*0.1+180*0.3)/300</t>
  </si>
  <si>
    <t>(245*0.30+365*0.40)/610</t>
  </si>
  <si>
    <t>(245*0.3+60*0.4)/365</t>
  </si>
  <si>
    <t>Abzug /</t>
  </si>
  <si>
    <t>Déduction /</t>
  </si>
  <si>
    <t>Zuschlag</t>
  </si>
  <si>
    <t>supplément.</t>
  </si>
  <si>
    <t>± Tiere</t>
  </si>
  <si>
    <t>Tage</t>
  </si>
  <si>
    <t>Anzahl</t>
  </si>
  <si>
    <t>Menge</t>
  </si>
  <si>
    <t>Futterrüben (ohne Blätter)</t>
  </si>
  <si>
    <t>Betterave fourragère (sans feuille)</t>
  </si>
  <si>
    <t>Samenproduktion: Leguminosen Reinbestand</t>
  </si>
  <si>
    <t>Production de semences: Légumineuses pures</t>
  </si>
  <si>
    <t>Samenproduktion: Gras Reinbestand</t>
  </si>
  <si>
    <t>Production de semences: Graminées pures</t>
  </si>
  <si>
    <t>Extensive Wiesen</t>
  </si>
  <si>
    <t>Prairies extensives</t>
  </si>
  <si>
    <t>Extensive Weiden, Waldweiden</t>
  </si>
  <si>
    <t>Pâturages extensifs, pâturages boisés</t>
  </si>
  <si>
    <t>Production</t>
  </si>
  <si>
    <t>Kraftfutter</t>
  </si>
  <si>
    <t>Consommation</t>
  </si>
  <si>
    <t>Catégorie d'animal</t>
  </si>
  <si>
    <t>par unité</t>
  </si>
  <si>
    <t>Nbre</t>
  </si>
  <si>
    <t>par an</t>
  </si>
  <si>
    <t>total</t>
  </si>
  <si>
    <t>dt MS</t>
  </si>
  <si>
    <t>kg</t>
  </si>
  <si>
    <t>Mutterkuhkälber leicht, ca 350 kg</t>
  </si>
  <si>
    <t>Mutterkuhkälber schwer, ca 400 kg</t>
  </si>
  <si>
    <t>Rindviehmast, intensive Ausmast</t>
  </si>
  <si>
    <t>Zuchtstier</t>
  </si>
  <si>
    <t>Stute inkl. Fohlen, Hafer als KF (max. 700 kg)</t>
  </si>
  <si>
    <t>Maultiere, Maulesel jeden Alters</t>
  </si>
  <si>
    <t>Ziegenplatz (inkl. Juntiere und Anteil Bock)</t>
  </si>
  <si>
    <t>Schafplatz (inkl. Jungtiere und Anteil Bock)</t>
  </si>
  <si>
    <t>Rothirsche inkl. Jungtiere, 1 Einheit=2 Tiere</t>
  </si>
  <si>
    <t>Wapiti inkl. Jungtiere, 1 Einheit=2 Tiere</t>
  </si>
  <si>
    <t>Damhirsche inkl. Jungtiere, 1 Einheit=2 Tiere</t>
  </si>
  <si>
    <t>Porc à l'engrais/remonte de 25-100 kg</t>
  </si>
  <si>
    <t>Galtsauen, pro Umtrieb</t>
  </si>
  <si>
    <t>Zuchtschweine, säugend, pro Umtrieb</t>
  </si>
  <si>
    <t>Ferkel abgesetzt bis 25-30 kg</t>
  </si>
  <si>
    <t>Zuchtschweine inkl. Ferkel 25-30 kg</t>
  </si>
  <si>
    <t>Mastschweine / Remonten (25-100 kg)</t>
  </si>
  <si>
    <t>Rindviehmast intensiv, 65-520 kg</t>
  </si>
  <si>
    <t>1 = Verkauf</t>
  </si>
  <si>
    <t>2 = Zukauf</t>
  </si>
  <si>
    <t>3 = ausserhalb FF</t>
  </si>
  <si>
    <t>Grundfutterbilanz ist nicht ausgeglichen!</t>
  </si>
  <si>
    <t>Bilan des fourrages non équilibré!</t>
  </si>
  <si>
    <t>Produktion</t>
  </si>
  <si>
    <t>[+] Zufuhr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</si>
  <si>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Wegfuhr</t>
    </r>
  </si>
  <si>
    <t>Gesamtverzehr</t>
  </si>
  <si>
    <r>
      <t>[</t>
    </r>
    <r>
      <rPr>
        <b/>
        <sz val="10"/>
        <rFont val="Arial"/>
        <family val="2"/>
      </rPr>
      <t>-</t>
    </r>
    <r>
      <rPr>
        <sz val="10"/>
        <rFont val="Arial"/>
        <family val="2"/>
      </rPr>
      <t>] Grundfutter übrige Tiere</t>
    </r>
  </si>
  <si>
    <t xml:space="preserve">Bilanz                                      </t>
  </si>
  <si>
    <t>Übriges Grundfutter</t>
  </si>
  <si>
    <t>B3: Grundfutterproduktion übrige</t>
  </si>
  <si>
    <t>B3: Production d'autres fourrages</t>
  </si>
  <si>
    <t>Tal</t>
  </si>
  <si>
    <t>Berg</t>
  </si>
  <si>
    <t>Übriges GF</t>
  </si>
  <si>
    <t>KF</t>
  </si>
  <si>
    <t>Teil D: Bilanz</t>
  </si>
  <si>
    <t>jours</t>
  </si>
  <si>
    <t>Zuchteber</t>
  </si>
  <si>
    <t>Zuchtschweine, säugend</t>
  </si>
  <si>
    <t>Autres prairies avec interdiction de fumure</t>
  </si>
  <si>
    <t>Wiesen und Weiden</t>
  </si>
  <si>
    <t>Prairies et pâturages</t>
  </si>
  <si>
    <t>Mindestbesatz RGVE</t>
  </si>
  <si>
    <t>C1: Total Wegfuhr Wiesen und Weidefutter</t>
  </si>
  <si>
    <t>C3: Total Zufuhr Wiesen- und Weidefutter</t>
  </si>
  <si>
    <t>B2: Grundfutterproduktion Wiesen und Weiden</t>
  </si>
  <si>
    <t>PLVH</t>
  </si>
  <si>
    <t>TS</t>
  </si>
  <si>
    <t>Fläche</t>
  </si>
  <si>
    <t>Ertrag</t>
  </si>
  <si>
    <t>Rend.</t>
  </si>
  <si>
    <t>Übrige Wiesen mit Düngeverbot</t>
  </si>
  <si>
    <t>Silomais</t>
  </si>
  <si>
    <t>Futterrüben</t>
  </si>
  <si>
    <t>Handy</t>
  </si>
  <si>
    <t>verzehr</t>
  </si>
  <si>
    <t>Grundfutter-</t>
  </si>
  <si>
    <t>Weidemastlamm, -gitzi</t>
  </si>
  <si>
    <t>1 bête</t>
  </si>
  <si>
    <t>1 place</t>
  </si>
  <si>
    <t>1 Stück</t>
  </si>
  <si>
    <t>1 Platz</t>
  </si>
  <si>
    <t>Conseiller(ère)</t>
  </si>
  <si>
    <t>Berater / Beraterin</t>
  </si>
  <si>
    <t>Zones de plaine</t>
  </si>
  <si>
    <t>100 pl.</t>
  </si>
  <si>
    <t>Mastkälber (50-200 kg)</t>
  </si>
  <si>
    <t>Rindviehmast intensiv &gt; 4 Monate</t>
  </si>
  <si>
    <t>Pferde über 3-jährig</t>
  </si>
  <si>
    <t>Zuchtstute inkl. Fohlen</t>
  </si>
  <si>
    <t>Fohlen 0.5 bis 3-jährig</t>
  </si>
  <si>
    <t>Poulains, 0.5 à 3 ans</t>
  </si>
  <si>
    <t>Ponys, Kleinpferde und Esel</t>
  </si>
  <si>
    <t>Bisons über 3-jährig</t>
  </si>
  <si>
    <t>Bisons bis 3-jährig (Zucht u. Mast)</t>
  </si>
  <si>
    <t>Lamas über 2-jährig</t>
  </si>
  <si>
    <t>Lamas unter 2-jährig</t>
  </si>
  <si>
    <t>Alpakas über 2-jährig</t>
  </si>
  <si>
    <t>Alpakas unter 2-jährig</t>
  </si>
  <si>
    <t>Wiesen- und</t>
  </si>
  <si>
    <t>Bison plus de 3 ans</t>
  </si>
  <si>
    <t>Bison moins de 3 ans</t>
  </si>
  <si>
    <t>Lama plus de 2 ans</t>
  </si>
  <si>
    <t>Lama moins de 2 ans</t>
  </si>
  <si>
    <t>Alpaga plus de 2 ans</t>
  </si>
  <si>
    <t>Zwischenfutter, Aeugstlen, Frühjahrsschnitt vor Umbruch</t>
  </si>
  <si>
    <t>55-135</t>
  </si>
  <si>
    <t>korri-</t>
  </si>
  <si>
    <t>giert</t>
  </si>
  <si>
    <t>100 Pl.</t>
  </si>
  <si>
    <t>Milchkühe</t>
  </si>
  <si>
    <t>Talzone</t>
  </si>
  <si>
    <t>Hügelzone</t>
  </si>
  <si>
    <t>Zone des collines</t>
  </si>
  <si>
    <t>Bergzone 1</t>
  </si>
  <si>
    <t>Zone montagne 1</t>
  </si>
  <si>
    <t>Bergzone 2</t>
  </si>
  <si>
    <t>Zone montagne 2</t>
  </si>
  <si>
    <t>Bergzone 3</t>
  </si>
  <si>
    <t>davon verfüttert an</t>
  </si>
  <si>
    <t>Mutterkuh &amp; Kalb dt TS</t>
  </si>
  <si>
    <t>Exigence pour vache mère &amp; veau</t>
  </si>
  <si>
    <t>Quantité fourrages pour vache mère &amp; veau &gt; quantité fourrages acheté/produits hors SF</t>
  </si>
  <si>
    <t>Bilanz übrige Raufutterverzehrer</t>
  </si>
  <si>
    <t>Zone montagne 3</t>
  </si>
  <si>
    <t>Bergzone 4</t>
  </si>
  <si>
    <t>Zone montagne 4</t>
  </si>
  <si>
    <t>Betriebsnummer</t>
  </si>
  <si>
    <t>Erntejahr</t>
  </si>
  <si>
    <t>Année de récolte</t>
  </si>
  <si>
    <t>Name / Vorname</t>
  </si>
  <si>
    <t>Strasse / Hof</t>
  </si>
  <si>
    <t>PLZ / Ort</t>
  </si>
  <si>
    <t>Telefon</t>
  </si>
  <si>
    <t>Téléphone</t>
  </si>
  <si>
    <t>Kanton</t>
  </si>
  <si>
    <t>Canton</t>
  </si>
  <si>
    <t>Fax / E-Mail</t>
  </si>
  <si>
    <t>Gemeinschaften</t>
  </si>
  <si>
    <t>Zuckerrüben</t>
  </si>
  <si>
    <t>Bemerkungen</t>
  </si>
  <si>
    <t>Remarques</t>
  </si>
  <si>
    <t>RGVE/ha Grünl.</t>
  </si>
  <si>
    <t>Maïs ensilage</t>
  </si>
  <si>
    <t>Total</t>
  </si>
  <si>
    <t xml:space="preserve"> </t>
  </si>
  <si>
    <t>GMF</t>
  </si>
  <si>
    <t>Raufutterverzehrer mit Kraftfutter</t>
  </si>
  <si>
    <t>Raufutterverzehrer ohne Kraftfutter (gem. GMF)</t>
  </si>
  <si>
    <t>übrige Tierkategorien mit GF-Verzehr</t>
  </si>
  <si>
    <t>Mastschweineplatz / Remonten (25-100 kg)</t>
  </si>
  <si>
    <t>Porc à l'engrais/remonte (PPE) de 25-100 kg</t>
  </si>
  <si>
    <t>Galtsauenplatz</t>
  </si>
  <si>
    <t>GF-Verzehr zu hoch!</t>
  </si>
  <si>
    <t>Truie d'élevage, porcelets inclus 25-30 kg</t>
  </si>
  <si>
    <t>t</t>
  </si>
  <si>
    <t>m3</t>
  </si>
  <si>
    <t xml:space="preserve">Fourrages vendus, achetés ou produits sur l'exploitation hors surface fourragère     </t>
  </si>
  <si>
    <t xml:space="preserve">Type de fourrage </t>
  </si>
  <si>
    <t>Quantité</t>
  </si>
  <si>
    <t xml:space="preserve">  %</t>
  </si>
  <si>
    <t>Ventes</t>
  </si>
  <si>
    <t>Achats</t>
  </si>
  <si>
    <t>hors SF</t>
  </si>
  <si>
    <t xml:space="preserve">  MS</t>
  </si>
  <si>
    <t>1/2/3</t>
  </si>
  <si>
    <t xml:space="preserve">  1 = vente</t>
  </si>
  <si>
    <t xml:space="preserve">  2 = achat</t>
  </si>
  <si>
    <t xml:space="preserve">Foin, regain </t>
  </si>
  <si>
    <t xml:space="preserve">  3 = hors SF</t>
  </si>
  <si>
    <t xml:space="preserve">Foin, regain, "pauvre" </t>
  </si>
  <si>
    <t xml:space="preserve">Betterave fourragère </t>
  </si>
  <si>
    <t xml:space="preserve">Betterave sucrière </t>
  </si>
  <si>
    <t xml:space="preserve">Pommes de terre </t>
  </si>
  <si>
    <t>dt MS)</t>
  </si>
  <si>
    <t xml:space="preserve">            </t>
  </si>
  <si>
    <t xml:space="preserve">              </t>
  </si>
  <si>
    <t xml:space="preserve">Total des besoins nets en fourrages  </t>
  </si>
  <si>
    <t xml:space="preserve">   Total</t>
  </si>
  <si>
    <t>dt MS/ha</t>
  </si>
  <si>
    <t>10-30</t>
  </si>
  <si>
    <t xml:space="preserve">peu intensifs  (1-3 utilisations) </t>
  </si>
  <si>
    <t>25-65</t>
  </si>
  <si>
    <t xml:space="preserve">mi-intensifs    (1-4 utilisations) </t>
  </si>
  <si>
    <t>35-100</t>
  </si>
  <si>
    <t xml:space="preserve">intensifs         (2-6 utilisations)  </t>
  </si>
  <si>
    <t>Unité</t>
  </si>
  <si>
    <t>dt</t>
  </si>
  <si>
    <t xml:space="preserve">%    </t>
  </si>
  <si>
    <t>%</t>
  </si>
  <si>
    <t>prairies/pâtur.</t>
  </si>
  <si>
    <t>Vache nourrice, 2 veaux par an, sans veau</t>
  </si>
  <si>
    <t>ausser FF</t>
  </si>
  <si>
    <t>Weidefutter</t>
  </si>
  <si>
    <t>weitere Raufutterverzehrende Tiere</t>
  </si>
  <si>
    <t>Rindvieh</t>
  </si>
  <si>
    <t>Grünfläche</t>
  </si>
  <si>
    <t>(160*0.13+205*0.33)/365</t>
  </si>
  <si>
    <t>Formel neue LBV</t>
  </si>
  <si>
    <t>Formel alte LBV</t>
  </si>
  <si>
    <t>(160*0.13+140*0.33)/300</t>
  </si>
  <si>
    <t>(40*0.13+205*0.33+60*0.4)/365</t>
  </si>
  <si>
    <t>(40*0.13+205*0.33+365*0.4)/610</t>
  </si>
  <si>
    <t>(95*0.33+135*0.4)/365</t>
  </si>
  <si>
    <t>Maximalerträge Wiesen, Weiden, ZF</t>
  </si>
  <si>
    <t>Maximalertrag ist überschritten!</t>
  </si>
  <si>
    <t>Le rendement maximal est dépassé!</t>
  </si>
  <si>
    <t>Hinweis:</t>
  </si>
  <si>
    <t>TS-Korrektur MiK</t>
  </si>
  <si>
    <t>Kunstwiesen</t>
  </si>
  <si>
    <t>Dauergrünland</t>
  </si>
  <si>
    <t>BFF</t>
  </si>
  <si>
    <t>Besatz Betrieb</t>
  </si>
  <si>
    <t>SPB</t>
  </si>
  <si>
    <t>Flächendifferenz von:</t>
  </si>
  <si>
    <t>tierbesatz</t>
  </si>
  <si>
    <t>surf. herb. permanentes</t>
  </si>
  <si>
    <t>Surface herbagère</t>
  </si>
  <si>
    <t>Grenzwerte:</t>
  </si>
  <si>
    <t>rot = nicht erfüllt</t>
  </si>
  <si>
    <t>Talgebiet</t>
  </si>
  <si>
    <t>Berggebiet</t>
  </si>
  <si>
    <t>valeur limite</t>
  </si>
  <si>
    <t>plaine</t>
  </si>
  <si>
    <t>région de montagne</t>
  </si>
  <si>
    <t>rouge = ne pas accompli</t>
  </si>
  <si>
    <t>ausblenden: K bis P</t>
  </si>
  <si>
    <t>Marche à suivre:</t>
  </si>
  <si>
    <t>Principe: Il faut une correspondance avec le Suisse-Bilanz.</t>
  </si>
  <si>
    <t>Indications:</t>
  </si>
  <si>
    <t>Nom / Prénom</t>
  </si>
  <si>
    <t>Rue / Exploitation</t>
  </si>
  <si>
    <t>NPA / Localité</t>
  </si>
  <si>
    <t>Fax / E-mail</t>
  </si>
  <si>
    <t>Mobile</t>
  </si>
  <si>
    <t>Affouragement pdt ou betterave?</t>
  </si>
  <si>
    <t>± bêtes</t>
  </si>
  <si>
    <t>de fourrages</t>
  </si>
  <si>
    <t>de concentrés</t>
  </si>
  <si>
    <t>kg MF</t>
  </si>
  <si>
    <t>Animaux consommant des fourrages grossiers avec consomm. de concentrés</t>
  </si>
  <si>
    <t>Bovins</t>
  </si>
  <si>
    <t>Vache laitière</t>
  </si>
  <si>
    <t>Autre vache</t>
  </si>
  <si>
    <t>Bovin d'élevage, moins de 1 an</t>
  </si>
  <si>
    <t>Bovin d'élevage, 1 à 2 ans</t>
  </si>
  <si>
    <t>Génisse, plus de 2 ans</t>
  </si>
  <si>
    <t>Veau à l'engrais, 50-200 kg</t>
  </si>
  <si>
    <t>Veau allaité jusqu'à env. 350 kg PV</t>
  </si>
  <si>
    <t>Veau allaité jusqu'à env. 400 kg PV</t>
  </si>
  <si>
    <t>Bovin à l'engrais, intensif, 65-520 kg</t>
  </si>
  <si>
    <t>Bovin à l'engrais, sevrage, &lt; 4 mois</t>
  </si>
  <si>
    <t>Bovin à l'engrais, intensif, &gt; 4 mois</t>
  </si>
  <si>
    <t>Bovin à l'engrais, pâturage, &gt; 4 mois</t>
  </si>
  <si>
    <t>Animaux consommant des fourrages grossiers sans consomm. de concentrés</t>
  </si>
  <si>
    <t>Autres animaux consommant des fourrages grossiers</t>
  </si>
  <si>
    <t>Jument avec poulain, concentré avoine (max. 700 kg)</t>
  </si>
  <si>
    <t>Autre cheval de plus de 3 ans, PV 550 kg</t>
  </si>
  <si>
    <t>Mulet et bardot, de tout âge</t>
  </si>
  <si>
    <t>Poney, petit cheval, âne de tout âge</t>
  </si>
  <si>
    <t>Chèvre y c. cabris et part de bouc</t>
  </si>
  <si>
    <t>Mouton y c. agneau et part de bélier</t>
  </si>
  <si>
    <t>Preuve nécessaire!</t>
  </si>
  <si>
    <t>Consommation de FG trop haute!</t>
  </si>
  <si>
    <t xml:space="preserve">A4: Consommation de concentrés par les animaux autorisés </t>
  </si>
  <si>
    <t>Total Kraftfutterverbrauch für Milchkühe auf LN</t>
  </si>
  <si>
    <t>Conc. Tot. VL sur SAU</t>
  </si>
  <si>
    <t>dt/Jahr</t>
  </si>
  <si>
    <t>dt/an</t>
  </si>
  <si>
    <t>dt/anno</t>
  </si>
  <si>
    <t>Berechnung: Menge KF MiK total/Anz. Korr.= durchschn. Menge KF/Kuh/Jahr</t>
  </si>
  <si>
    <t>A5: Consommation totale par les animaux consommant des fourrages grossiers</t>
  </si>
  <si>
    <t>Autres animaux consommant des fourrages de base</t>
  </si>
  <si>
    <t>GMF_87</t>
  </si>
  <si>
    <t xml:space="preserve">A1: Consommation de fourrage de base par tous les animaux </t>
  </si>
  <si>
    <t>A2: Consommation de fourrage de base par les animaux consommant des fourrages grossiers</t>
  </si>
  <si>
    <t>Bilanz MuK</t>
  </si>
  <si>
    <t>Grundfutter in der französischen Übersetzung ändern in fourrages de BASE. Aber nicht überall geändert.Änderung in Bilanz: B31, B65, B77, B78, B79</t>
  </si>
  <si>
    <t>Partie A: Consommation de fourrages de base et de concentrés</t>
  </si>
  <si>
    <t>Partie B: Production de fourrages</t>
  </si>
  <si>
    <t>Maïs plante/maïs ensilage plante entière</t>
  </si>
  <si>
    <t>Maïs à faucher en vert (2ème culture)</t>
  </si>
  <si>
    <t>Paille de céréales de l'exploitation affouragée</t>
  </si>
  <si>
    <t>Dérobées, semis de PA d'été, rompue de printemps (si récoltés)</t>
  </si>
  <si>
    <t>Surface en cultures dérobées</t>
  </si>
  <si>
    <t>B1: Production totale de fourrages</t>
  </si>
  <si>
    <t>B2: Production de fourrages issus des prairies et pâturages</t>
  </si>
  <si>
    <t>minimale en bétail</t>
  </si>
  <si>
    <t>Formatierungen gemacht
Angaben für Mindesttierbesatz zum Infoteil gezügelt, da nicht ganz korrekt wegen der Berücksichtigung der Periode
Satz "Erforderlicher Mindesttierbesatz…" auch zum Infoteil
Biertreber: "frisch" gestrichen</t>
  </si>
  <si>
    <t>prairies temporaires</t>
  </si>
  <si>
    <t>Difference de surface de:</t>
  </si>
  <si>
    <t>Partie C: Achats / Ventes de fourrages</t>
  </si>
  <si>
    <t xml:space="preserve">Consommation de fourrages (selon total ci-dessus) </t>
  </si>
  <si>
    <t>Herbe déshydratée (cubes)</t>
  </si>
  <si>
    <t>Ensilage de céréales plantes entières</t>
  </si>
  <si>
    <t>Maïs fauché en vert</t>
  </si>
  <si>
    <t>Maïs plante entière déshydraté (cubes)</t>
  </si>
  <si>
    <t>Maïs épi CCM (pour bovins engrais)</t>
  </si>
  <si>
    <t xml:space="preserve">Feuilles de betteraves </t>
  </si>
  <si>
    <t>Résidus transformation fruits/légumes</t>
  </si>
  <si>
    <t xml:space="preserve">Achat de paille pour l'affouragement </t>
  </si>
  <si>
    <t>C1: Total ventes de fourrages issus des prairies et pâturages</t>
  </si>
  <si>
    <t>C2: Total ventes d'autres fourrages</t>
  </si>
  <si>
    <t>C3: Total achats issus de prairies et pâturages</t>
  </si>
  <si>
    <t>C4: Total achats d'autres fourrages</t>
  </si>
  <si>
    <t>C5: Fourrages produits sur l'exploitation hors surface fourragère</t>
  </si>
  <si>
    <t xml:space="preserve">C6: Pertes de conservation et à la crèche : 0-5% des besoins nets en fourrages   </t>
  </si>
  <si>
    <t xml:space="preserve">C7: Marge d'erreur sur le bilan de matière sèche (MS) : 0-5% des besoins nets en fourrages </t>
  </si>
  <si>
    <t xml:space="preserve">Total des fourrages à produire sur l'exploitation  </t>
  </si>
  <si>
    <t>Partie D: Bilan des fourrages</t>
  </si>
  <si>
    <t>[-] Fourrages pour d'autres animaux</t>
  </si>
  <si>
    <t>et pâturages</t>
  </si>
  <si>
    <t>Autres</t>
  </si>
  <si>
    <t>Concentrés</t>
  </si>
  <si>
    <t>Ammenkühe 2 Kälber / Jahr, ohne Kälber</t>
  </si>
  <si>
    <t>Daim, y c. petits, 1u.=2 animaux</t>
  </si>
  <si>
    <t>Cerf,  y c. petits, 1u.=2 animaux</t>
  </si>
  <si>
    <t>Bedinget Formatierung R175</t>
  </si>
  <si>
    <t>Wapiti, y c. petits, 1u.=2 animaux</t>
  </si>
  <si>
    <t>Kaninchen, Zibben inkl. Jungtiere bis 35 d</t>
  </si>
  <si>
    <t>Kaninchen, Jungtiere ab ca 35 Tagen</t>
  </si>
  <si>
    <t>Petits lapins dès env.35 jours</t>
  </si>
  <si>
    <t>Ganzpflanzenmais, Silomais</t>
  </si>
  <si>
    <t>Grünmais (2. Kultur)</t>
  </si>
  <si>
    <t>Four. prairies</t>
  </si>
  <si>
    <t>Die Herstellerin der Software oder die Beratung übernehmen keine Verantwortung, für Schäden, die aus der Nutzung der Software entstehen.</t>
  </si>
  <si>
    <t>Le fournisseur du logiciel ou la vulgarisation agricole n'assument aucune responsabilité pour d'éventuels dommages découlant de l'utilisation du logiciel.</t>
  </si>
  <si>
    <t>suche nach ungeschützten Zellen</t>
  </si>
  <si>
    <t>ZELLE("Schutz";A1)=0</t>
  </si>
  <si>
    <t>C7: Fehlerbereich der Grundfutterbilanz: 0-5% vom Netto-Grundfutterbedarf</t>
  </si>
  <si>
    <t>C6: Zuzüglich Lagerungs- und Krippenverluste, 0-5% vom Netto-Grundfutterbedarf</t>
  </si>
  <si>
    <t>1.3 Beta</t>
  </si>
  <si>
    <t>(160*0.13+205*0.33+60*0.4)/400</t>
  </si>
  <si>
    <t>Änderungstabelle</t>
  </si>
  <si>
    <t>Blatt</t>
  </si>
  <si>
    <t>Fehler</t>
  </si>
  <si>
    <t>Änderung</t>
  </si>
  <si>
    <t>Datum</t>
  </si>
  <si>
    <t>Zelle F40, F41: Eintrag kg/an</t>
  </si>
  <si>
    <t>Formel aus F42 übertragen --&gt; Stück</t>
  </si>
  <si>
    <t>Spalten O und P verbreitern</t>
  </si>
  <si>
    <t>TS-Verzehr für Milchschafe und Weidemastlämmer vertauscht</t>
  </si>
  <si>
    <t>Reihenfolge im Blatt Texte getauscht</t>
  </si>
  <si>
    <t>Texte</t>
  </si>
  <si>
    <t>Format in Zellen J87, J88</t>
  </si>
  <si>
    <t>Zellenbereite O94ff und P94ff zu schmal für 3 stellige Zahlen</t>
  </si>
  <si>
    <t>gleiches Format einfügen wie Zelle J86</t>
  </si>
  <si>
    <t>iwe</t>
  </si>
  <si>
    <t>GMF_99</t>
  </si>
  <si>
    <t>Formel L 100: bei kleinen negativen Abweichungen wird "0" rot und erscheint Fehlermeldung</t>
  </si>
  <si>
    <t>Formel L100: "oder"-Teil gelöscht (negative Zahlen werden nicht rot); F101 ebenfalls korr.</t>
  </si>
  <si>
    <t>geändert von</t>
  </si>
  <si>
    <t>betrifft Vers.</t>
  </si>
  <si>
    <t>neue Vers.</t>
  </si>
  <si>
    <t>1.4 Beta</t>
  </si>
  <si>
    <t>Guida</t>
  </si>
  <si>
    <t>PLCSI</t>
  </si>
  <si>
    <t>Menu di scelta</t>
  </si>
  <si>
    <t>All'inserimento dei dati</t>
  </si>
  <si>
    <t>Celle bloccate</t>
  </si>
  <si>
    <t>Principio: deve esserci concordanza con Suisse Bilanz</t>
  </si>
  <si>
    <t>Indicazione:</t>
  </si>
  <si>
    <t>Bilancio foraggero per la produzione di latte e carne</t>
  </si>
  <si>
    <t>basata sulla superficie inerbita</t>
  </si>
  <si>
    <t>Numero aziendale</t>
  </si>
  <si>
    <t>Anno del raccolto</t>
  </si>
  <si>
    <t>Cognome / nome</t>
  </si>
  <si>
    <t>Opzione</t>
  </si>
  <si>
    <t>Strada / fattoria</t>
  </si>
  <si>
    <t>Cantone</t>
  </si>
  <si>
    <t>NPA / luogo</t>
  </si>
  <si>
    <t>Fax / e-mail</t>
  </si>
  <si>
    <t>Telefono</t>
  </si>
  <si>
    <t>Cellulare</t>
  </si>
  <si>
    <t>Altitudine</t>
  </si>
  <si>
    <t>Zona di pianura</t>
  </si>
  <si>
    <t>Zona collinare</t>
  </si>
  <si>
    <t>Zona di montagna 1</t>
  </si>
  <si>
    <t>Zona di montagna 2</t>
  </si>
  <si>
    <t>Zona di montagna 3</t>
  </si>
  <si>
    <t>Zona di montagna 4</t>
  </si>
  <si>
    <t>Forma di produzione</t>
  </si>
  <si>
    <t>PER: non adempiuta</t>
  </si>
  <si>
    <t>PER: adempiuta</t>
  </si>
  <si>
    <t>Agricoltura biologica</t>
  </si>
  <si>
    <t>Comunità</t>
  </si>
  <si>
    <t>Nessuna</t>
  </si>
  <si>
    <t>Comunità / un'azienda</t>
  </si>
  <si>
    <t>Con 2 aziende</t>
  </si>
  <si>
    <t>Con 3 aziende</t>
  </si>
  <si>
    <t>Con 4 aziende</t>
  </si>
  <si>
    <t>Consulente</t>
  </si>
  <si>
    <t>Osservazioni</t>
  </si>
  <si>
    <t>Parte A: consumo di foraggio di base e concentrato (fabbisogno)</t>
  </si>
  <si>
    <t>Foraggiamento a discrezione?</t>
  </si>
  <si>
    <t>sì</t>
  </si>
  <si>
    <t>no</t>
  </si>
  <si>
    <t>Specie o categoria animale</t>
  </si>
  <si>
    <t>Unità</t>
  </si>
  <si>
    <t>Numero</t>
  </si>
  <si>
    <t>Deduzione /</t>
  </si>
  <si>
    <t>A3: Consommation de fourrage de prairie/pâtur. par les autres animaux</t>
  </si>
  <si>
    <t>A3: Wiesen-/Weidefutterverzehr übrige Tiere</t>
  </si>
  <si>
    <t>(B3+C4-C2+C5-A1+A2+A3)</t>
  </si>
  <si>
    <t xml:space="preserve">Tierbestand in der Periode vom 1.1.2016 - 31.12.2016. Weil dieser zur Zeit noch nicht bekannt ist, </t>
  </si>
  <si>
    <t>d’animaux pour la période 1.1.2016 – 31.12.2016. Comme ces derniers ne sont pas encore connus, le montant</t>
  </si>
  <si>
    <t xml:space="preserve">Die Berechnung des massgebenden Tierbesatzes für die Futterbilanz 2016 basiert auf dem effektiven </t>
  </si>
  <si>
    <t>Le calcul de la charge effective en bétail pour le bilan fourrager 2016 s’appuie sur les effectifs déterminants</t>
  </si>
  <si>
    <t xml:space="preserve">Il calcolo del carico effettivo di bestiame per il bilancio foraggero 2016 si basa sugli effettivi </t>
  </si>
  <si>
    <t>animali per il periodo 1.1.2016 – 31.12.2016. Siccome questi ultimi non sono ancora noti, l'importo</t>
  </si>
  <si>
    <t>GMF_111</t>
  </si>
  <si>
    <t>A3: neuer Name und Formel, Bilanz bei übr. GF neuer Text in J162</t>
  </si>
  <si>
    <t>supplemento</t>
  </si>
  <si>
    <t>Giorni</t>
  </si>
  <si>
    <t>Corretto</t>
  </si>
  <si>
    <t>Consumo</t>
  </si>
  <si>
    <t>di foraggio di base</t>
  </si>
  <si>
    <t>per anno</t>
  </si>
  <si>
    <t>q SF</t>
  </si>
  <si>
    <t>Totale</t>
  </si>
  <si>
    <t>q SS</t>
  </si>
  <si>
    <t>Consumo di</t>
  </si>
  <si>
    <t>per unità</t>
  </si>
  <si>
    <t>kg SF</t>
  </si>
  <si>
    <t>q</t>
  </si>
  <si>
    <t>Animali che consumano foraggio grezzo con foraggio concentrato</t>
  </si>
  <si>
    <t>Bovini</t>
  </si>
  <si>
    <t>Vacche da latte</t>
  </si>
  <si>
    <t>Altre vacche</t>
  </si>
  <si>
    <t>Vacche nutrici 2 vitelli / anno</t>
  </si>
  <si>
    <t>Bestiame giovane, 0-1 anno</t>
  </si>
  <si>
    <t>Bestiame giovane, 1-2 anni</t>
  </si>
  <si>
    <t>Manzi &gt;2 anni</t>
  </si>
  <si>
    <t>Vitelli da ingrasso (50-200 kg)</t>
  </si>
  <si>
    <t>Vitelli di vacche madri leggeri, circa 350 kg</t>
  </si>
  <si>
    <t>Vitelli di vacche madri pesanti, circa 400 kg</t>
  </si>
  <si>
    <t>Bovini da ingrasso, intensivo, 65-520 kg</t>
  </si>
  <si>
    <t>Bovini da ingrasso, svezzamento &lt; 4 mesi</t>
  </si>
  <si>
    <t>Bovini da ingrasso, intensivo &gt; 4 mesi</t>
  </si>
  <si>
    <t>GMF_86</t>
  </si>
  <si>
    <t>Falscher Zellbezug in Zelle W54: bisher auf Milchleistung MiK</t>
  </si>
  <si>
    <t>Neu auf Milchleistung andere Kühe (E42)</t>
  </si>
  <si>
    <t>Bovini da ingrasso, pascolo &gt; 4 mesi</t>
  </si>
  <si>
    <t>Bovini da ingrasso, finissaggio intensivo</t>
  </si>
  <si>
    <t>Tori da allevamento</t>
  </si>
  <si>
    <t>Animali che consumano foraggio grezzo senza foraggio concentrato (PLCSI misto)</t>
  </si>
  <si>
    <t xml:space="preserve">Altri animali che consumano foraggio grezzo </t>
  </si>
  <si>
    <t>Giumente da allevamento, puledri inclusi</t>
  </si>
  <si>
    <t>Giumente, puledri inclusi, avena come FC (max. 700 kg)</t>
  </si>
  <si>
    <t xml:space="preserve">Cavalli di oltre 3 anni </t>
  </si>
  <si>
    <t>Puledri 0.5-3 anni</t>
  </si>
  <si>
    <t>Muli o bardotti di ogni età</t>
  </si>
  <si>
    <t>Pony, piccoli cavalli e asini</t>
  </si>
  <si>
    <t>Agnelli e capretti da ingrasso al pascolo</t>
  </si>
  <si>
    <t>Daini, incl. bestiame giovane, 1 unità=2 animali</t>
  </si>
  <si>
    <t>GMF_105</t>
  </si>
  <si>
    <t xml:space="preserve">Einbau von Mutterkuh&amp;Kalb </t>
  </si>
  <si>
    <t>GMF_103</t>
  </si>
  <si>
    <t>GMF_104</t>
  </si>
  <si>
    <t>Makros</t>
  </si>
  <si>
    <t>2 neue Makros für Passwortschutz und Ausblenden, sowie rückgängig machen</t>
  </si>
  <si>
    <t>DFE</t>
  </si>
  <si>
    <t>GMF_106</t>
  </si>
  <si>
    <t>Übersetzung Franz., Fehlerkorr. V153, Ammenkühe integriert</t>
  </si>
  <si>
    <t>Cervi, incl. bestiame giovane, 1 unità=2 animali</t>
  </si>
  <si>
    <t>Wapiti, incl. bestiame giovane, 1 unità=2 animali</t>
  </si>
  <si>
    <t>Bisonti di oltre 3 anni</t>
  </si>
  <si>
    <t>Bisonti fino a 3 anni (allevamento e ingrasso)</t>
  </si>
  <si>
    <t>Lama di oltre 2 anni</t>
  </si>
  <si>
    <t>Lama al di sotto dei 2 anni</t>
  </si>
  <si>
    <t>Alpaca di oltre 2 anni</t>
  </si>
  <si>
    <t>Alpaca al di sotto dei 2 anni</t>
  </si>
  <si>
    <t>Altre categorie di animali con consumo di FB</t>
  </si>
  <si>
    <t>Struzzi &gt; 13 mesi</t>
  </si>
  <si>
    <t>vaches &amp; veaux</t>
  </si>
  <si>
    <t>GMF_108</t>
  </si>
  <si>
    <t>neue Mutterkuhkategorien eingefügt; Texte Franz., Ital. Angepasst</t>
  </si>
  <si>
    <t>GMF_109</t>
  </si>
  <si>
    <t>Optionen--&gt;Null anzeigen; dafür über bedingte Formatierung die Null in "Formelzellen" unterdrückt</t>
  </si>
  <si>
    <t>Bilan pour vache mère et veau</t>
  </si>
  <si>
    <t>bilancio per vacche madri e vitelli</t>
  </si>
  <si>
    <t>bilan autres animaux consom.des f. grossiers</t>
  </si>
  <si>
    <t>Struzzi &lt; 13 mesi</t>
  </si>
  <si>
    <t>Posta suini da ingrasso / rimonte (25-100 kg)</t>
  </si>
  <si>
    <t>Suini da ingrasso / rimonte (25-100 kg)</t>
  </si>
  <si>
    <t>Suini da allevamento incl. suinetti 25-30 kg</t>
  </si>
  <si>
    <t>Posta da scrofa in asciutta</t>
  </si>
  <si>
    <t>Scrofe in asciutta, per ciclo</t>
  </si>
  <si>
    <t>Scrofe riproduttrici, in lattazione</t>
  </si>
  <si>
    <t>Scrofe riproduttrici, in lattazione, per ciclo</t>
  </si>
  <si>
    <t>Verri da allevamento</t>
  </si>
  <si>
    <t>Suinetti svezzati fino a 25-30 kg</t>
  </si>
  <si>
    <t>Prova necessaria!</t>
  </si>
  <si>
    <t>Consumo FB troppo elevato!</t>
  </si>
  <si>
    <t>Il bilancio del foraggio di base non è equilibrato!</t>
  </si>
  <si>
    <t>Resa</t>
  </si>
  <si>
    <t>q SS/ha</t>
  </si>
  <si>
    <t>1=vendita</t>
  </si>
  <si>
    <t>2=acquisto</t>
  </si>
  <si>
    <t>3=al di fuori SF</t>
  </si>
  <si>
    <t>Mais da silo</t>
  </si>
  <si>
    <t>Mais verde</t>
  </si>
  <si>
    <t>Barbabietole da foraggio (senza foglie)</t>
  </si>
  <si>
    <t>Paglia usata come foraggio (solo dell'azienda)</t>
  </si>
  <si>
    <t>Foglie di bietola usate come foraggio (solo dell'azienda)</t>
  </si>
  <si>
    <t>Produzione di sementi: leguminose pure</t>
  </si>
  <si>
    <t>Produzione di sementi: graminacee pure</t>
  </si>
  <si>
    <t>Prati estensivi</t>
  </si>
  <si>
    <t>Altri prati con divieto di concimazione</t>
  </si>
  <si>
    <t xml:space="preserve">Prati estensivi, pascoli boschivi </t>
  </si>
  <si>
    <t>Prati e pascoli</t>
  </si>
  <si>
    <t>poco intensivi (1-3  utilizzazioni)</t>
  </si>
  <si>
    <t>intensivi (2-6 utilizzazioni)</t>
  </si>
  <si>
    <t>Superficie inerbita</t>
  </si>
  <si>
    <t>Superficie con coltura intercalare</t>
  </si>
  <si>
    <t xml:space="preserve">    - Inserire tutti gli animali che consumano foraggio</t>
  </si>
  <si>
    <t xml:space="preserve">    - Estivazione: riguardo al numero di animali, bisogna inserire i  </t>
  </si>
  <si>
    <t xml:space="preserve">      dati sul numero di animali estivati (in negativo) e sul numero di giorni di estivazione.</t>
  </si>
  <si>
    <t xml:space="preserve">    - L'afforaggiamento di alimenti complementari durante l'estivazione è autorizzato solo per gli animali</t>
  </si>
  <si>
    <t xml:space="preserve">    - Le definizioni contenute nell'allegato 5 dell'OPD sono anche valide per  </t>
  </si>
  <si>
    <t xml:space="preserve">      gli alimenti di base e quelli complementari somministrati durante l'estivazione. </t>
  </si>
  <si>
    <t xml:space="preserve">      munti delle seguenti categorie: vacche da latte, capre e pecore. Indicare le quantità effettive. </t>
  </si>
  <si>
    <t>Azienda di base</t>
  </si>
  <si>
    <t>A8: giorni di estivazione secondo AniCalc (BDTA)</t>
  </si>
  <si>
    <t>[+] Consumo durante l'estivazione</t>
  </si>
  <si>
    <t>[+] Foraggi/concentrati durante l'estivazione</t>
  </si>
  <si>
    <t>GMF_96</t>
  </si>
  <si>
    <t>B1: produzione totale foraggio di base</t>
  </si>
  <si>
    <t>B3: altra produzione di foraggio di base</t>
  </si>
  <si>
    <t>È superata la resa massima!</t>
  </si>
  <si>
    <t>Prati artificiali</t>
  </si>
  <si>
    <t>Differenza di superficie di:</t>
  </si>
  <si>
    <t>Parte C: ritiri e cessioni di foraggio di base</t>
  </si>
  <si>
    <t>Consumo foraggio di base nell'azienda</t>
  </si>
  <si>
    <t>Tipi di foraggio di base</t>
  </si>
  <si>
    <t>Quantità</t>
  </si>
  <si>
    <t>SS</t>
  </si>
  <si>
    <t>Codice</t>
  </si>
  <si>
    <t>Cessioni</t>
  </si>
  <si>
    <t xml:space="preserve">Ritiri </t>
  </si>
  <si>
    <t>al di fuori SF</t>
  </si>
  <si>
    <t>q SS)</t>
  </si>
  <si>
    <t>Erba</t>
  </si>
  <si>
    <t>Insilato d'erba</t>
  </si>
  <si>
    <t>Foraggio essiccato</t>
  </si>
  <si>
    <t xml:space="preserve">Insilato di cereali pianta intera </t>
  </si>
  <si>
    <t>CCM (per l'ingrasso di bovini)</t>
  </si>
  <si>
    <t>Barbabietole da foraggio</t>
  </si>
  <si>
    <t>Barbabietole da zucchero</t>
  </si>
  <si>
    <t>Polpa di barbabietola da zucchero, fresca</t>
  </si>
  <si>
    <t>Polpa di barbabietola da zucchero, insilata</t>
  </si>
  <si>
    <t>Polpa di barbabietola da zucchero, essiccata</t>
  </si>
  <si>
    <t>Patate</t>
  </si>
  <si>
    <t>Version: 1.4</t>
  </si>
  <si>
    <t>version: 1.4</t>
  </si>
  <si>
    <t>Versione: 1.4</t>
  </si>
  <si>
    <t>dazugehörende Suisse-Bilanz Aufl. 1.13</t>
  </si>
  <si>
    <t>correspondant Suisse-Bilanz Edition 1.13</t>
  </si>
  <si>
    <t>rispettivo Suisse-Bilanz Versione 1.13</t>
  </si>
  <si>
    <t>GMF_101</t>
  </si>
  <si>
    <t>Anpassungen für 1.13 (GF-Erfassung Zuchtschweine)</t>
  </si>
  <si>
    <t>GMF_102</t>
  </si>
  <si>
    <t>Anpassung Version</t>
  </si>
  <si>
    <t>Bilanz für Mutterkuh &amp; Kalb</t>
  </si>
  <si>
    <t>Übriges Grund-</t>
  </si>
  <si>
    <t>futter total</t>
  </si>
  <si>
    <t>Mutterkuh &amp; Kalb</t>
  </si>
  <si>
    <t>Erfüllung Mutterkuh &amp; Kalb</t>
  </si>
  <si>
    <t>Radici di cicoria</t>
  </si>
  <si>
    <t>Cascami della valorizzazione di frutta e verdura</t>
  </si>
  <si>
    <t>Acquisto di paglia a scopo foraggero</t>
  </si>
  <si>
    <t>C1: totale cessioni prati e pascoli</t>
  </si>
  <si>
    <t>C2: totale cessioni altri foraggi di base</t>
  </si>
  <si>
    <t>C3. totale ritiri prati e pascoli</t>
  </si>
  <si>
    <t>C4: totale ritiri altri foraggi di base</t>
  </si>
  <si>
    <t>C5: produzione foraggi di base al di fuori della superficie foraggera</t>
  </si>
  <si>
    <t>Totale fabbisogno foraggio di base netto</t>
  </si>
  <si>
    <t xml:space="preserve">C6: più perdite da stoccaggio e da foraggiamento, 0,5% del fabbisogno foraggio di base netto </t>
  </si>
  <si>
    <t>C7: margine d'errore del bilancio del foraggio di base:0-5%</t>
  </si>
  <si>
    <t xml:space="preserve">Totale foraggio di base prodotto (FB prod) sulla superficie foraggera </t>
  </si>
  <si>
    <t>Parte D: bilancio</t>
  </si>
  <si>
    <t>Consumo totale</t>
  </si>
  <si>
    <t>[+] Perdite e margine d'errore</t>
  </si>
  <si>
    <t>Produzione</t>
  </si>
  <si>
    <t>Ritiri</t>
  </si>
  <si>
    <t>[-] Foraggio di base altri animali</t>
  </si>
  <si>
    <t>Bilancio</t>
  </si>
  <si>
    <t>Fabbisogno</t>
  </si>
  <si>
    <t>Prati e</t>
  </si>
  <si>
    <t>pascoli</t>
  </si>
  <si>
    <t>Altri foraggi di base</t>
  </si>
  <si>
    <t>UBGFG/ha sup. inerb.</t>
  </si>
  <si>
    <t>Luogo e data:</t>
  </si>
  <si>
    <t>Firma:</t>
  </si>
  <si>
    <t>Biertreber</t>
  </si>
  <si>
    <t>Drêches de brasserie</t>
  </si>
  <si>
    <t>Borlande</t>
  </si>
  <si>
    <t>Norme animali</t>
  </si>
  <si>
    <t>Categoria animale</t>
  </si>
  <si>
    <t>di foraggio</t>
  </si>
  <si>
    <t>SS/giorno</t>
  </si>
  <si>
    <t>SS/anno</t>
  </si>
  <si>
    <t>UBG</t>
  </si>
  <si>
    <t>Coefficienti</t>
  </si>
  <si>
    <t>100 poste</t>
  </si>
  <si>
    <t>1 capo</t>
  </si>
  <si>
    <t>1 posta</t>
  </si>
  <si>
    <t>Celle verdi:</t>
  </si>
  <si>
    <t>Celle gialle:</t>
  </si>
  <si>
    <t>Celle bianche:</t>
  </si>
  <si>
    <t>für nachvollziehbare Fehlermeldungen</t>
  </si>
  <si>
    <t>Runden auf 0 Stellen bei F101, M187</t>
  </si>
  <si>
    <t>neue Fehlermeldung bei keine Gebietszuteilung in Teil D</t>
  </si>
  <si>
    <t>Procedura:</t>
  </si>
  <si>
    <t>Capra (incl. bestiame giovane e parte del becco)</t>
  </si>
  <si>
    <t>Pecora (incl. bestiame giovane e parte dell’ariete)</t>
  </si>
  <si>
    <t>Pecore da latte (incl. bestiame giovane)</t>
  </si>
  <si>
    <t>Daten</t>
  </si>
  <si>
    <t>GVE-Faktor Milchschafe - Lämmer vertauscht</t>
  </si>
  <si>
    <t>Milchschafe=0.25, Lämmer=0.03</t>
  </si>
  <si>
    <t>Italienisch eingefügt</t>
  </si>
  <si>
    <t>Sup. agricola utile</t>
  </si>
  <si>
    <t>±animali</t>
  </si>
  <si>
    <t>concentrati</t>
  </si>
  <si>
    <t>Coniglie madre incl. animali giovani fino a 35 g.</t>
  </si>
  <si>
    <t>Conigli: animali giovani (da circa 35 g.)</t>
  </si>
  <si>
    <t>Mais pianta intera, Mais da silo</t>
  </si>
  <si>
    <t>patate o barbabietole da foraggio?</t>
  </si>
  <si>
    <t>Foglie di barbabietola</t>
  </si>
  <si>
    <t>Cubetti d'erba</t>
  </si>
  <si>
    <t>Cubetti da mais pianta intera</t>
  </si>
  <si>
    <t>Foraggio essiccato, a tenore ridotto di sost. nutri.</t>
  </si>
  <si>
    <t xml:space="preserve"> sfalci primaverili prima del dissodamento</t>
  </si>
  <si>
    <t>Totale concentrati per vacca da latte sulla SAU</t>
  </si>
  <si>
    <t>Erba da</t>
  </si>
  <si>
    <t>prati e pascoli</t>
  </si>
  <si>
    <t>Totale erba da prati/pascoli &gt; Consumo foraggio</t>
  </si>
  <si>
    <t>A1: consumo foraggio di base, tutti gli animali</t>
  </si>
  <si>
    <t xml:space="preserve">A2: consumo foraggio di base, animali che consumano foraggio grezzo </t>
  </si>
  <si>
    <t>A3: consumo foraggio di prati/pascoli, altri animali</t>
  </si>
  <si>
    <t>A4: consumo foraggio concentrato, categorie aventi diritto</t>
  </si>
  <si>
    <t>A5: consumo totale, animali che consumano foraggio grezzo</t>
  </si>
  <si>
    <t xml:space="preserve">A6: consumo foraggio di base, animali che consumano foraggio grezzo </t>
  </si>
  <si>
    <t>A7: consumo foraggio concentrato, categorie aventi diritto</t>
  </si>
  <si>
    <t>Parte B: produzione foraggio di base</t>
  </si>
  <si>
    <t>B2: produzione foraggio di base prati e pascoli</t>
  </si>
  <si>
    <t>di cui foraggiato a</t>
  </si>
  <si>
    <t>vacche madri &amp; vitelli q. SS</t>
  </si>
  <si>
    <t>Quantità foraggio per vacche madri &amp; vitelli &gt; quantità foraggio prodotto in azienda</t>
  </si>
  <si>
    <t>Ritiri, cessioni e produzione di foraggio di base al di fuori della superficie foraggera (SF)</t>
  </si>
  <si>
    <t>quantità</t>
  </si>
  <si>
    <t>Quantità foraggio per vacche madri &amp; vitelli &gt; quantità foraggio comperato/prodotto fuori dalla superficie foggera</t>
  </si>
  <si>
    <t>Compilare la parte "vacche madri &amp; vitelli", anche se "0"</t>
  </si>
  <si>
    <t>V. madri&amp;vitelli, requisiti soddisfatti</t>
  </si>
  <si>
    <t>effettivo minimo animali</t>
  </si>
  <si>
    <t>GMF_113</t>
  </si>
  <si>
    <t>Colture intercalari, sfalci autunnali di prati temporanei seminati ad agosto</t>
  </si>
  <si>
    <t>mediamente intensivi (1-4 utili.)</t>
  </si>
  <si>
    <t>Prati permanenti</t>
  </si>
  <si>
    <t>rosso = non rispettata</t>
  </si>
  <si>
    <t>regione di montagna</t>
  </si>
  <si>
    <t>regione di pianura</t>
  </si>
  <si>
    <t>valore limite</t>
  </si>
  <si>
    <t>I produttori del software o la consulenza non si assumono la responsabilità di danni derivanti dell'utilizzo del software stesso.</t>
  </si>
  <si>
    <t>Concentrati</t>
  </si>
  <si>
    <t>1.5 Beta</t>
  </si>
  <si>
    <t>RGVE-Berechnung: Sömmerung wurde fälschlicherweise abgezogen</t>
  </si>
  <si>
    <t>Tierzahl für RGVE-Berechnung reduziert sich bei einer Sömmerung bis maximal 180 d nicht, erst darüber wird der Tierbestand reduziert. Siehe Anhörung Art. 34, Abs. 3</t>
  </si>
  <si>
    <t>1.6 Beta</t>
  </si>
  <si>
    <t>Grundfutterverzehr Kaninchen Jungtiere</t>
  </si>
  <si>
    <t>Formel in Zelle L68 fehlte</t>
  </si>
  <si>
    <t>Gebietszuteilung</t>
  </si>
  <si>
    <t>alle Zellen mit Formeln sind grau umrandet</t>
  </si>
  <si>
    <t>Anrechung BFF an MTB:</t>
  </si>
  <si>
    <t>Dieses Instrument dient als Nachweis für die Erfüllung der Anforderungen an die Futterbilanz für das Programm der GMF.</t>
  </si>
  <si>
    <t>Keine Gebietszuteilung</t>
  </si>
  <si>
    <t>Krippenverluste, nur wenn Tiere</t>
  </si>
  <si>
    <t>Berechnung: Menge KF andere Kühe total/Anz. Korr.= durchschn. Menge KF/Kuh/Jahr</t>
  </si>
  <si>
    <t>giorni di esti-</t>
  </si>
  <si>
    <t>vazione totale</t>
  </si>
  <si>
    <t xml:space="preserve">    - Saisir la consommation total des concentrés par catégorie d'animaux</t>
  </si>
  <si>
    <t xml:space="preserve">    - Inserire il consumo totale dei concentrati per categoria di animale</t>
  </si>
  <si>
    <t xml:space="preserve">      consumati dall'azienda all'anno (senza estivazione).</t>
  </si>
  <si>
    <t xml:space="preserve">    - Pro Tierkategorie die Gesamtmenge Kraftfutter, die auf</t>
  </si>
  <si>
    <t xml:space="preserve">      consommés sur l’exploitation à l’année (sans estivage).</t>
  </si>
  <si>
    <t xml:space="preserve">      dem Ganzjahresbetrieb verfüttert wird, erfassen.</t>
  </si>
  <si>
    <t>GMF_98</t>
  </si>
  <si>
    <t>Text angepasst für KF-Erfassung</t>
  </si>
  <si>
    <t>Spalte KF pro Einheit entfernt; Text Infoteil auf 2015 angepasst (Daten)</t>
  </si>
  <si>
    <t>ausblenden T-AF</t>
  </si>
  <si>
    <t>0=keine Tiere, 1=Tiere --&gt;bedingte Formatierung K142</t>
  </si>
  <si>
    <t xml:space="preserve">Bilanz ist </t>
  </si>
  <si>
    <t>Wiesen-/Weidefutter</t>
  </si>
  <si>
    <t>GF total</t>
  </si>
  <si>
    <t>Bedingte Formatierung M162</t>
  </si>
  <si>
    <t>ja=1=grün, nein=2=rot</t>
  </si>
  <si>
    <t>1=Maximalertrag überschritten --&gt;Fehlermeldung in M100</t>
  </si>
  <si>
    <t>Auswahllisten ("Gültigkeiten")</t>
  </si>
  <si>
    <t>Fütterung Milchkühe</t>
  </si>
  <si>
    <t>Kraftfutterberechnung Milchkühe</t>
  </si>
  <si>
    <t>Kraftfuttermenge aufgrund Milchleistung (andere Kühe)</t>
  </si>
  <si>
    <t>Kraftfuttermenge aufgrund Milchleistung (Milchkühe)</t>
  </si>
  <si>
    <t>Tab. für SVerweis für Kraftfutterberechnung</t>
  </si>
  <si>
    <t>Berechnung GF-Korrektur aufgrund Kfmenge (Milchkühe)</t>
  </si>
  <si>
    <t>Berechnung GF-Korrektur aufgrund Kfmenge (andere Kühe)</t>
  </si>
  <si>
    <t>Zugelassendes GF pro Kategorie</t>
  </si>
  <si>
    <t>bei Überschreitung der Grenze --&gt; Fehlermeldung Q65-72</t>
  </si>
  <si>
    <t>Auswahlliste Grundfutter Zu-/Verkauf</t>
  </si>
  <si>
    <t>1.7 Beta</t>
  </si>
  <si>
    <t>Anpassung an Anhörungsunterlagen Ämterkonsultation</t>
  </si>
  <si>
    <t>siehe Beiblätter</t>
  </si>
  <si>
    <t>Erforderlicher Mindesttierbesatz (RGVE/ha Grünfläche) für 100 % der GMF-Beiträge</t>
  </si>
  <si>
    <t>Wegfuhr ist grösser als Produktion</t>
  </si>
  <si>
    <t>2.0 Beta</t>
  </si>
  <si>
    <t>région de plaine</t>
  </si>
  <si>
    <t>surfaces à l'étranger</t>
  </si>
  <si>
    <t>Flächen im Ausland</t>
  </si>
  <si>
    <t xml:space="preserve">Superfici all’estero </t>
  </si>
  <si>
    <t>Hilfswerte für Fehlermeldung O102</t>
  </si>
  <si>
    <t>Maximale BFF</t>
  </si>
  <si>
    <t>Summe DG+KW Hilfstab.</t>
  </si>
  <si>
    <t>Summe BFF Hilfstab.</t>
  </si>
  <si>
    <t>BFF Hilfstab &gt; als Max. BFF</t>
  </si>
  <si>
    <t>Summe Total Hilfstab&lt;&gt;Grünfl</t>
  </si>
  <si>
    <t>Hilfstab keine BFF, aber ext. Flächen</t>
  </si>
  <si>
    <t>BFF-Fläche zu hoch</t>
  </si>
  <si>
    <t>Haben Sie keine BFF?</t>
  </si>
  <si>
    <t>1. Betriebsangaben ausfüllen, insbesondere die "Gebietszuteilung"</t>
  </si>
  <si>
    <t>1. Saisir les indications d'exploitation, en particulier la région</t>
  </si>
  <si>
    <t>1. Inserire i dati aziendali, in particolare la regione</t>
  </si>
  <si>
    <t>régions</t>
  </si>
  <si>
    <t>regioni</t>
  </si>
  <si>
    <t>N'avez-vous pas des SPB?</t>
  </si>
  <si>
    <t>Lei non ha delle SPB?</t>
  </si>
  <si>
    <t>SPB troppo alta</t>
  </si>
  <si>
    <t>SPB trop haute</t>
  </si>
  <si>
    <t>Zufuhr von Stroh zur Verfütterung</t>
  </si>
  <si>
    <t>fourrages total</t>
  </si>
  <si>
    <t>Vache mère &amp; veau</t>
  </si>
  <si>
    <t>quantité</t>
  </si>
  <si>
    <t>GMF_78</t>
  </si>
  <si>
    <t>bilanz</t>
  </si>
  <si>
    <t>CCM auch ausserhalb HFF, Formel+Format bei Rind&gt;2Abwesenheit, Tab. Mit Grenzwerten: Reihenfolge anpassen; fehlende Formel in L71-72 ergänzen, GVE-faktor andere Kühe=1.0 (F9-F12)</t>
  </si>
  <si>
    <t>2. Teil A: Grund- und Kraftfutterverzehr</t>
  </si>
  <si>
    <t>2. Partie A: Consommation de fourrages et de concentrés</t>
  </si>
  <si>
    <t>2. Parte A: consumo di foraggio di base e concentrato (fabbisogno)</t>
  </si>
  <si>
    <t>Informazioni complementari</t>
  </si>
  <si>
    <t>Requisiti della parte … nella razione</t>
  </si>
  <si>
    <t xml:space="preserve">  - foraggi dei prati e pascoli</t>
  </si>
  <si>
    <t xml:space="preserve">  - altri foraggi</t>
  </si>
  <si>
    <t xml:space="preserve">  - concentrati</t>
  </si>
  <si>
    <t>che corrisponde a</t>
  </si>
  <si>
    <t>Lei ottiene dei contributi PLCSI</t>
  </si>
  <si>
    <t>I suoi contributi non possono essere calcolati</t>
  </si>
  <si>
    <t>Inserire per favore il numero totale di UBGFG della vostra azienda</t>
  </si>
  <si>
    <t>Lei non ottiene NESSUN contributo</t>
  </si>
  <si>
    <t xml:space="preserve">dei contributi PLCSI deve essere considerato come una stima.  </t>
  </si>
  <si>
    <t>davon Wiesen-</t>
  </si>
  <si>
    <t>&amp; Weidefutter</t>
  </si>
  <si>
    <t>GMF_85</t>
  </si>
  <si>
    <t xml:space="preserve">    - Alle Tierarten mit Grundfutterverzehr erfassen</t>
  </si>
  <si>
    <t>Mutterkühe leicht (LG&lt;600 kg)</t>
  </si>
  <si>
    <t>Mutterkühe mittel (LG 600-700 kg)</t>
  </si>
  <si>
    <t>Mutterkühe schwer (LG 700-800 kg)</t>
  </si>
  <si>
    <t>Vache mère légère (PV &lt;600 kg), sans veau</t>
  </si>
  <si>
    <t>Vache mère moyenne (PV 600-700 kg), sans veau</t>
  </si>
  <si>
    <t>Vache mère lourde (PV 700-800 kg), sans veau</t>
  </si>
  <si>
    <t>Vacche madri pesanti (700-800 kg)</t>
  </si>
  <si>
    <t>Vacche madri leggere (&lt;600 kg)</t>
  </si>
  <si>
    <t>Vacche madri mezze (600-700 kg)</t>
  </si>
  <si>
    <t>Fourragé aux</t>
  </si>
  <si>
    <t>vaches &amp; veaux dt MS</t>
  </si>
  <si>
    <t>Vacche madri &amp; vitelli</t>
  </si>
  <si>
    <t>Quantité fourrages pour vache mère &amp; veau &gt; quantité fourrages produits sur l'exploitation</t>
  </si>
  <si>
    <t>bilancio animali che consumano foraggio grezzo</t>
  </si>
  <si>
    <t xml:space="preserve">    - Saisir tous les animaux consommant des fourrages</t>
  </si>
  <si>
    <t xml:space="preserve">    - Flächen und Erträge erfassen</t>
  </si>
  <si>
    <t>3. Teil B: Grundfutterproduktion</t>
  </si>
  <si>
    <t>3. Partie B: Production de fourrages</t>
  </si>
  <si>
    <t xml:space="preserve">    - Saisir les surfaces et les rendements.</t>
  </si>
  <si>
    <t xml:space="preserve">    - registrare superfici e rese </t>
  </si>
  <si>
    <t>3. Parte B: Produzione di foraggio di base</t>
  </si>
  <si>
    <t xml:space="preserve">    - Für Wiesen und Weiden gelten Maximalwerte</t>
  </si>
  <si>
    <t xml:space="preserve">    - Des valeurs maximales sont fixées pour les rendements des prairies et des pâturages.</t>
  </si>
  <si>
    <t xml:space="preserve">    - Per prati e pascoli vigono valori massimi</t>
  </si>
  <si>
    <t xml:space="preserve">    - Höhere Erträge nur mit Ertragsgutachten möglich</t>
  </si>
  <si>
    <t xml:space="preserve">    - Si les rendements dépassent ces valeurs, une expertise par un spécialiste est nécessaire.</t>
  </si>
  <si>
    <t xml:space="preserve">    - Elevate rese sono possibili solo con una perizia sulla resa</t>
  </si>
  <si>
    <t xml:space="preserve">    - Erträge Zwischenkulturen max. 25 dt TS</t>
  </si>
  <si>
    <t xml:space="preserve">    - Les rendements des cultures dérobées sont limités à 25 dt MS.</t>
  </si>
  <si>
    <t xml:space="preserve">    - Rese di colture intercalari max. 25 q SS</t>
  </si>
  <si>
    <t xml:space="preserve">    - Pro Zone die totale Grünfläche (Dauergrünfläche plus Kunstwiesen)  </t>
  </si>
  <si>
    <t xml:space="preserve">      abzüglich Biodiversitätsförderflächen (BFF) erfassen.</t>
  </si>
  <si>
    <t>4. Angaben für die Berechnung des Mindesttierbesatzes</t>
  </si>
  <si>
    <t>GMF_93</t>
  </si>
  <si>
    <t xml:space="preserve">    - Sömmerung: bei den Tierzahlen müssen die Anzahl gesömmerte Tiere (positiv) </t>
  </si>
  <si>
    <t xml:space="preserve">      données sur le nombre d’animaux estivés (en positif) et le nombre de jours d’estivage.</t>
  </si>
  <si>
    <t xml:space="preserve">      und die Tage Sömmerung separat erfasst werden.</t>
  </si>
  <si>
    <t>GMF_94</t>
  </si>
  <si>
    <t>pdf Anleitung eingefügt</t>
  </si>
  <si>
    <t>unklarer Text auf Franz in B163</t>
  </si>
  <si>
    <t>Text in Bilanz auf Franz. geändert</t>
  </si>
  <si>
    <t>GMF_95</t>
  </si>
  <si>
    <t>pdf ausgetauscht, Text geändert auf Tierzahl "positiv" und Schreibfehler korr. In B25</t>
  </si>
  <si>
    <t>Tierzahl Sömmerung: positiv erfassen. Formel geändert. Hinweis von Dagmar.</t>
  </si>
  <si>
    <t xml:space="preserve">      Milchschafe und Ziegen. Effektive Menge eingeben.</t>
  </si>
  <si>
    <t>4. Teil C: Zu- und Wegfuhr Grundfutter erfassen</t>
  </si>
  <si>
    <t xml:space="preserve">5. Teil D: Bilanz </t>
  </si>
  <si>
    <t>4. Partie C: Saisir les achats et les ventes de fourrages</t>
  </si>
  <si>
    <t>5. Partie D: Bilan des fourrages</t>
  </si>
  <si>
    <t>4. Parte C: Registrare ritiri e cessioni di foraggi di base</t>
  </si>
  <si>
    <t xml:space="preserve">5. Parte D: Il bilancio </t>
  </si>
  <si>
    <t xml:space="preserve">    - KF-Verzehr während Sömmerung nur möglich für gemolkene Tiere folgender Kategorien: Milchkühe,</t>
  </si>
  <si>
    <t>Readme</t>
  </si>
  <si>
    <t>Text durch Sömmerung ergänzt, Mindesttierbesatz gestrichen</t>
  </si>
  <si>
    <t xml:space="preserve">    - Für Grund- und Kraftfutter während der Sömmerung gelten ebenfalls </t>
  </si>
  <si>
    <t xml:space="preserve">      die Definitionen gemäss Anhang 5 DZV.</t>
  </si>
  <si>
    <t xml:space="preserve">    - Estivage: Concernant le nombre d’animaux, il s’agit de saisir particulièrement les </t>
  </si>
  <si>
    <t xml:space="preserve">    - Les définitions contenues dans l’annexe 5 de l’OPD sont aussi valables pour </t>
  </si>
  <si>
    <t xml:space="preserve">      les aliments de base et complémentaires affouragés durant l’estivage.</t>
  </si>
  <si>
    <t xml:space="preserve">    - L’affouragement d’aliments complémentaires durant l’estivage n’est autorisé que pour les animaux</t>
  </si>
  <si>
    <t xml:space="preserve">      traits des catégories suivantes : vaches laitières, chèvres et brebis. Indiquer les quantités effectives.</t>
  </si>
  <si>
    <t>Herbe issue des</t>
  </si>
  <si>
    <t>4. Indications pour le calcul de la charge en bétail minimale</t>
  </si>
  <si>
    <t xml:space="preserve">    - Pour chaque zone, saisir le total des surfaces herbagères permantentes et temporaires, ainsi</t>
  </si>
  <si>
    <t xml:space="preserve">      que le total des surfaces pour la promotion de la biodiversité (SPB).</t>
  </si>
  <si>
    <t xml:space="preserve">    - per ogni zona registrare il totale per terreni permanentemente inerbiti e prati artificiali </t>
  </si>
  <si>
    <t xml:space="preserve">      nonché il totale per le superfici per la promozione della biodiversità (SPB)</t>
  </si>
  <si>
    <t>4. Dati per il calcolo della densità minima di animali</t>
  </si>
  <si>
    <t xml:space="preserve">    - Pour chaque zone, saisir le total des surfaces pour la promotion de la biodiversité</t>
  </si>
  <si>
    <t>Ø Milchprod. kg/Jahr</t>
  </si>
  <si>
    <t>Prod. lait Ø kg/an</t>
  </si>
  <si>
    <t>Prod. di latte Ø kg/anno</t>
  </si>
  <si>
    <t>Erforderliche Anteile an der Ration</t>
  </si>
  <si>
    <t>≥</t>
  </si>
  <si>
    <t>≤</t>
  </si>
  <si>
    <t>Questo strumento serve a provare che i requisiti del bilancio foraggero sono soddisfatti per il programma PLCSI</t>
  </si>
  <si>
    <t>Carico minimo animale per ottenere 100 % dei contributo PLCSI (UBGFG/ha d'erba)</t>
  </si>
  <si>
    <t xml:space="preserve">Charge minimale en bétail exigée pour obtenir 100 % des contributions PLVH (UGBFG/ha herb.) </t>
  </si>
  <si>
    <t>Le cessioni sono più elevate della produzione</t>
  </si>
  <si>
    <t>La regione non è stata inserita</t>
  </si>
  <si>
    <t>Infoteil</t>
  </si>
  <si>
    <t>UGBFG totaux de l'exploitation</t>
  </si>
  <si>
    <t>UBGFG totali dell'azienda</t>
  </si>
  <si>
    <t>Effektiver Mindesttierbesatz (RGVE/ha Grünfläche)</t>
  </si>
  <si>
    <t>Charge en bétail effective (UGBFG/ha herb.)</t>
  </si>
  <si>
    <t>Carico di bestiame effetivo (UBGFG/ha d'erba)</t>
  </si>
  <si>
    <t>Erfüllung des Mindesttierbesatzes für</t>
  </si>
  <si>
    <t>Exigence de la charge min. pour</t>
  </si>
  <si>
    <t xml:space="preserve">Requisito del carico minimo per </t>
  </si>
  <si>
    <t>% di contributi PLCSI</t>
  </si>
  <si>
    <t>teilweise</t>
  </si>
  <si>
    <t>parziale</t>
  </si>
  <si>
    <t>vollständig</t>
  </si>
  <si>
    <t>completa</t>
  </si>
  <si>
    <t>Informationsteil</t>
  </si>
  <si>
    <t>Erfüllung der erforderlichen Anteile an der Ration</t>
  </si>
  <si>
    <t>Erfüllung der Anteile (Gras, Kraftfutter) der Ration</t>
  </si>
  <si>
    <t xml:space="preserve">Exigence des parts (herbes, concentrés) dans la ration satisfaite </t>
  </si>
  <si>
    <t>Requisiti soddisfacenti delle varie parti (erba, concentrati) della razione</t>
  </si>
  <si>
    <t>CHF</t>
  </si>
  <si>
    <t xml:space="preserve">Exigence de la part … dans la ration satisfaite </t>
  </si>
  <si>
    <t>Informations complémentaires</t>
  </si>
  <si>
    <t>qui correspond à</t>
  </si>
  <si>
    <t>Vous obtenez des contributions PLVH</t>
  </si>
  <si>
    <t>Vos contributions ne peuvent pas être calculées</t>
  </si>
  <si>
    <t>Saississez svp le nombre d'UGBFG totaux de votre exploitation</t>
  </si>
  <si>
    <t>Vous n'obtenez AUCUNE contribution</t>
  </si>
  <si>
    <t xml:space="preserve">des contributions PLVH est à considérer comme une estimation.  </t>
  </si>
  <si>
    <t>ist die Höhe der Beiträge nur eine Schätzung.</t>
  </si>
  <si>
    <t>Il bilancio del foraggio non è equilibrato!</t>
  </si>
  <si>
    <t>Anpassung des eigenen Produktionssytems</t>
  </si>
  <si>
    <t>Adaptation de son système de production</t>
  </si>
  <si>
    <t>im Hinblick auf GMF</t>
  </si>
  <si>
    <t>pour répondre aux exigences PLVH</t>
  </si>
  <si>
    <t>Achtung: Die Berechnung basiert auf den Angaben des Bilanzblattes</t>
  </si>
  <si>
    <t>Attention: saisir d'abord la feuille "Bilanz-bilan", car plusieurs chiffres sont reprises de ce tableur.</t>
  </si>
  <si>
    <t>Erklärungen</t>
  </si>
  <si>
    <t>Explications</t>
  </si>
  <si>
    <t>Falls die Bedingung der Kraftfutterrestriktion nicht erfüllt ist, stellt sich die Frage einer Verringerung des Kraftfuttereinsatzes</t>
  </si>
  <si>
    <t>Si l'exigence de la part minimale en concentrés dans la ration n'est pas remplie, la réduction des concentrés est une option.</t>
  </si>
  <si>
    <t>Dieses Blatt zeigt die finanziellen Auswirkungen bei einer eventuellen Anpassung des Produktionssystems</t>
  </si>
  <si>
    <t xml:space="preserve">Cette feuille donne un aperçu du solde financier en cas de réorientation de son système de production laitière. </t>
  </si>
  <si>
    <t>Prüfen Sie auf dem Bilanz-Blatt, ob ihre Anpassung (Teil A) die Erfüllung der Bedingungen</t>
  </si>
  <si>
    <t>Vérifiez à l'aide de la feuille "bilan" si la réduction supposée (partie A) répond</t>
  </si>
  <si>
    <t>von maximal 10% Kraftfutter (Teil D) bewirkt.</t>
  </si>
  <si>
    <t xml:space="preserve">à l'exigence minimale de 10% (partie D). </t>
  </si>
  <si>
    <t>Milchproduktion</t>
  </si>
  <si>
    <t>Production laitière</t>
  </si>
  <si>
    <t>Mittlerer Herdendurchschnitt</t>
  </si>
  <si>
    <t>Moyenne actuelle du troupeau</t>
  </si>
  <si>
    <t>Angestrebte Milchleistung nach Anpassung</t>
  </si>
  <si>
    <t>Production attendue dans le nouveau système</t>
  </si>
  <si>
    <t>Anzahl Kühe</t>
  </si>
  <si>
    <t>Nombre de vaches</t>
  </si>
  <si>
    <t>Auswirkungen auf die Mengen</t>
  </si>
  <si>
    <t>Conséquences sur les volumes</t>
  </si>
  <si>
    <t>Verringerung der Milchproduktion total</t>
  </si>
  <si>
    <t>Diminution totale du volume de lait produit</t>
  </si>
  <si>
    <t>Reduktion des Kraftfuttereinsatzes pro Kuh</t>
  </si>
  <si>
    <t>Economie de concentrés par vache</t>
  </si>
  <si>
    <t>Auswirkungen auf die Wirtschaftlichkeit</t>
  </si>
  <si>
    <t>Conséquences financières</t>
  </si>
  <si>
    <t>Mindereinnahmen Milch</t>
  </si>
  <si>
    <t>Perte totale en lait</t>
  </si>
  <si>
    <t>Total Wiesen- &amp; Weidefutter &gt; Grundfutterverzehr</t>
  </si>
  <si>
    <t>Total Herbe issue des prairies/pâturages &gt; Consommation de fourrages</t>
  </si>
  <si>
    <t>GMF_112</t>
  </si>
  <si>
    <t>neue Fehlermeldung in N76-79</t>
  </si>
  <si>
    <t>Einsparung Kraftfutterkosten</t>
  </si>
  <si>
    <t>Economie de concentrés</t>
  </si>
  <si>
    <t>Beiträge GMF</t>
  </si>
  <si>
    <t>Contributions supplémentaires PLVH</t>
  </si>
  <si>
    <t>Solde</t>
  </si>
  <si>
    <t>kg Milch/Kuh</t>
  </si>
  <si>
    <t>kg lait/vache</t>
  </si>
  <si>
    <t>Kühe</t>
  </si>
  <si>
    <t>vaches</t>
  </si>
  <si>
    <t>kg Milch</t>
  </si>
  <si>
    <t>kg lait</t>
  </si>
  <si>
    <t>kg KF/Kuh</t>
  </si>
  <si>
    <t>kg conc./vache</t>
  </si>
  <si>
    <t>Fr.</t>
  </si>
  <si>
    <t>Frs</t>
  </si>
  <si>
    <t>Rp/kg</t>
  </si>
  <si>
    <t>cts/kg</t>
  </si>
  <si>
    <t>Fr./dt</t>
  </si>
  <si>
    <t>Frs/dt</t>
  </si>
  <si>
    <t>Fr./ha</t>
  </si>
  <si>
    <t>Frs/ha</t>
  </si>
  <si>
    <t>siehe Erklärung*</t>
  </si>
  <si>
    <t>lire l'explication*</t>
  </si>
  <si>
    <t>Preis</t>
  </si>
  <si>
    <t>Prix</t>
  </si>
  <si>
    <t>Kraftfutterreduktion</t>
  </si>
  <si>
    <t>Réduction des concentrés</t>
  </si>
  <si>
    <t>Reduzierte Milchleistung dividiert durch das MPP des KF ergibt eingesparte Kraftfuttermenge</t>
  </si>
  <si>
    <t>Quantité de concentrés économisée = différence de production laitière en moins divisée par le PPL des concentrés.</t>
  </si>
  <si>
    <r>
      <t>Annahme Milchleistungspotential = 2 kg Milch pro kg Kraftfutter</t>
    </r>
    <r>
      <rPr>
        <sz val="10"/>
        <color indexed="10"/>
        <rFont val="Arial"/>
        <family val="2"/>
      </rPr>
      <t>*</t>
    </r>
  </si>
  <si>
    <r>
      <t>Supposition pour le potentiel de production laitière = 2 kg lait par kg de concentrés</t>
    </r>
    <r>
      <rPr>
        <sz val="10"/>
        <color indexed="10"/>
        <rFont val="Arial"/>
        <family val="2"/>
      </rPr>
      <t>*</t>
    </r>
  </si>
  <si>
    <t>Beispiel:</t>
  </si>
  <si>
    <t>Exemple</t>
  </si>
  <si>
    <t>500 kg Milchleistungsreduktion / 2 (MPP KF) = 250 kg Kraftfuttereinsparung</t>
  </si>
  <si>
    <t>500 kg de diminution de production laitière / 2 (PPL concentrés) = 250 kg de concentrés économisés</t>
  </si>
  <si>
    <r>
      <t>*</t>
    </r>
    <r>
      <rPr>
        <sz val="10"/>
        <rFont val="Arial"/>
        <family val="2"/>
      </rPr>
      <t>Hinweis: die tatsächliche Milchleistungsänderung pro kg Kraftfuttereinsatz oder -einsparung</t>
    </r>
  </si>
  <si>
    <r>
      <t>*</t>
    </r>
    <r>
      <rPr>
        <sz val="10"/>
        <rFont val="Arial"/>
        <family val="2"/>
      </rPr>
      <t>Explication: la différence effective de production laitière par kg de concentrés incorporés ou économisés</t>
    </r>
  </si>
  <si>
    <t>kann je nach Rationszusammensetzung variieren zwischen ca. 1 und 3</t>
  </si>
  <si>
    <t>peut varier d'environ 1 à 3 selon la composition de la ration.</t>
  </si>
  <si>
    <t>GMF_82</t>
  </si>
  <si>
    <t>GMF_81</t>
  </si>
  <si>
    <t>Text Milchleistung ergänzt</t>
  </si>
  <si>
    <t>Infoteil auf ergänzt</t>
  </si>
  <si>
    <t>italienische Übersetzungen eingefügt</t>
  </si>
  <si>
    <t>GMF_83</t>
  </si>
  <si>
    <t>Infoteil auf D und F fertig, Formel F101 fertig, bedingte Formatierungen bei L100 eingefügt</t>
  </si>
  <si>
    <t>Zwischenfutterfläche wird Futterrüben addiert</t>
  </si>
  <si>
    <t>Percentuali richieste nella razione</t>
  </si>
  <si>
    <t>I requisiti relativi alle percentuali nella razione sono soddisfatti?</t>
  </si>
  <si>
    <t>[+] Fourrages/concentrés durant estivage</t>
  </si>
  <si>
    <t>Korrektur, summe ZF und Grünmais, Texte ital. Gekehrt</t>
  </si>
  <si>
    <t>GMF_84</t>
  </si>
  <si>
    <t>Angaben für Mindesttierbesatz</t>
  </si>
  <si>
    <t>Indication de charge minimale en bétail</t>
  </si>
  <si>
    <t>Dati per la densità minima di animali</t>
  </si>
  <si>
    <t>wenn keine int. Wiesen eingegeben: Bilanz über 100%</t>
  </si>
  <si>
    <t>Formel in L100, die Differenz berechnet und Fehlermeldung F101</t>
  </si>
  <si>
    <t>budget partiel</t>
  </si>
  <si>
    <t>Tabellenblatt eingefügt, Texte übernommen</t>
  </si>
  <si>
    <t>Budget partiel</t>
  </si>
  <si>
    <t>Ø</t>
  </si>
  <si>
    <t>Versionnummer in Fusszeile auf 1.1 gesetzt</t>
  </si>
  <si>
    <t>Parts exigées dans la ration</t>
  </si>
  <si>
    <r>
      <t xml:space="preserve">Satisfaire l’exigence </t>
    </r>
    <r>
      <rPr>
        <sz val="10.5"/>
        <rFont val="Calibri"/>
        <family val="2"/>
      </rPr>
      <t xml:space="preserve">des parts dans la ration </t>
    </r>
  </si>
  <si>
    <t>partielles</t>
  </si>
  <si>
    <t>complètes</t>
  </si>
  <si>
    <t>RGVE effektiv auf dem Betrieb</t>
  </si>
  <si>
    <t>Erfüllung des Anteils … an der Ration</t>
  </si>
  <si>
    <t xml:space="preserve">  - Wiesen- und Weidefutter</t>
  </si>
  <si>
    <t xml:space="preserve">  - übriges Grundfutter</t>
  </si>
  <si>
    <t xml:space="preserve">  - Kraftfutter</t>
  </si>
  <si>
    <t xml:space="preserve">  - fourrages prairies et pâturages</t>
  </si>
  <si>
    <t xml:space="preserve">  - autres fourrages</t>
  </si>
  <si>
    <t xml:space="preserve">  - concentrés</t>
  </si>
  <si>
    <t>si</t>
  </si>
  <si>
    <t xml:space="preserve">das entspricht etwa </t>
  </si>
  <si>
    <t>% der GMF-Beiträge</t>
  </si>
  <si>
    <t>Nullwerte vorhanden?</t>
  </si>
  <si>
    <t>IstLeer-Abfrage</t>
  </si>
  <si>
    <t>Kontrollsumme</t>
  </si>
  <si>
    <t>Bitte Teil Mutterkuh&amp;Kalb ausfüllen, auch "0"</t>
  </si>
  <si>
    <t>Saisie la partie "vache mère&amp;veau", aussi si "0"</t>
  </si>
  <si>
    <t>GMF_110</t>
  </si>
  <si>
    <t>Abfrage bei Mutterkuh&amp;Kalb Teil, ob Werte, auch Nuller eingegeben wurden</t>
  </si>
  <si>
    <t xml:space="preserve">Sie erhalten die Beiträge </t>
  </si>
  <si>
    <t>Sie erhalten KEINE Beiträge</t>
  </si>
  <si>
    <t>Bitte tragen Sie die Anzahl RGVE Ihres Betriebes ein</t>
  </si>
  <si>
    <t>Ihre Beiträge können nicht berechnet werden</t>
  </si>
  <si>
    <t xml:space="preserve">% des contributions PLVH </t>
  </si>
  <si>
    <t xml:space="preserve">    - per ogni zona rgistrare il totale per la promozione della biodiversità</t>
  </si>
  <si>
    <t xml:space="preserve">    - Pro Zone die totale Biodiversitätsförderfläche erfassen</t>
  </si>
  <si>
    <t xml:space="preserve">    - Code wählen: Zu-, Verkauf, GF produziert ausserhalb der Futterfläche</t>
  </si>
  <si>
    <t xml:space="preserve">    - Achtung: Grundfutterbilanz muss ausgeglichen sein: Vergleich von </t>
  </si>
  <si>
    <t xml:space="preserve">      "B1: Grundfutterproduktion total" und "Total auf der Futterfläche </t>
  </si>
  <si>
    <t xml:space="preserve">      zu produzierendes Grundfutter (GFprod)"</t>
  </si>
  <si>
    <t xml:space="preserve">    - Choisir le code: Vente, Achat ou Hors SF.</t>
  </si>
  <si>
    <t xml:space="preserve">    - Attention: Le bilan des fourrages doit être equilibré: comparer le </t>
  </si>
  <si>
    <t xml:space="preserve">      total "B1: Production totale de fourrages" et</t>
  </si>
  <si>
    <t xml:space="preserve">      "Total des fourrages à produire sur l'exploitation".</t>
  </si>
  <si>
    <t xml:space="preserve">    - Scegliere il codice acquisto o vendita</t>
  </si>
  <si>
    <t xml:space="preserve">    - Attenzione: Il bilancio del foraggio di base deve essere equilibrato: confronto tra</t>
  </si>
  <si>
    <t xml:space="preserve">      "B1: produzione totale foraggio di base" e "Totale foraggio di base da produrre sulla superficie </t>
  </si>
  <si>
    <t xml:space="preserve">      foraggera (FB prod)"</t>
  </si>
  <si>
    <t xml:space="preserve">    - Abhängig von der Gebietszuteilung wird angezeigt, </t>
  </si>
  <si>
    <t xml:space="preserve">      ob die Mindestanteile an der Ration erfüllt sind oder nicht.</t>
  </si>
  <si>
    <t xml:space="preserve">      Grün=Erfüllt</t>
  </si>
  <si>
    <t xml:space="preserve">      Rot=Nicht erfüllt</t>
  </si>
  <si>
    <t xml:space="preserve">    - Le Bilan des fourrages montre, en tenant compte des régions,</t>
  </si>
  <si>
    <t xml:space="preserve">      si la condition concernant la part minimale dans la ration est remplie ou non</t>
  </si>
  <si>
    <t xml:space="preserve">      vert=condition remplie</t>
  </si>
  <si>
    <t xml:space="preserve">      rouge=condition non remplie</t>
  </si>
  <si>
    <t xml:space="preserve">    - Il bilancio indica, in base alle regioni,</t>
  </si>
  <si>
    <t xml:space="preserve">      se le razioni minime sono rispettate oppure no. </t>
  </si>
  <si>
    <t xml:space="preserve">      Verde=rispettato</t>
  </si>
  <si>
    <t xml:space="preserve">      Rosso=non rispettato</t>
  </si>
  <si>
    <t>Achtung, Sprache wählen VOR Dateneingabe!</t>
  </si>
  <si>
    <t>Attenzione, scelga la lingua PRIMA dell'immissione!</t>
  </si>
  <si>
    <t>Attention, choisissez la langue AVANT la saisie!</t>
  </si>
  <si>
    <t>Les cessions sont plus élevées que la production.</t>
  </si>
  <si>
    <t>Cet instrument sert à prouver que les exigences du bilan fourrager sont remplies pour le programme PLVH.</t>
  </si>
  <si>
    <t>La région n'a pas été saisie.</t>
  </si>
  <si>
    <t>alle</t>
  </si>
  <si>
    <t>1.0</t>
  </si>
  <si>
    <t>Auslandflächen und Wahl, ob man alle extensiven Flächen als BFF will eingebaut</t>
  </si>
  <si>
    <t>Futterbilanz für die graslandbasierte</t>
  </si>
  <si>
    <t>Milch- und Fleischproduktion</t>
  </si>
  <si>
    <t>Tiernormen</t>
  </si>
  <si>
    <t>TS/Tag</t>
  </si>
  <si>
    <t>TS/Jahr</t>
  </si>
  <si>
    <t>[+] Verluste und Fehlerbereich</t>
  </si>
  <si>
    <t>[+] Pertes et marge d'erreur</t>
  </si>
  <si>
    <t>MS/an</t>
  </si>
  <si>
    <t>Faktoren</t>
  </si>
  <si>
    <t>Total des</t>
  </si>
  <si>
    <t>besoins</t>
  </si>
  <si>
    <t>Getreide-Ganzpflanzensilage</t>
  </si>
  <si>
    <t>kg FS</t>
  </si>
  <si>
    <t>Zwischenfutterfläche</t>
  </si>
  <si>
    <t>ha</t>
  </si>
  <si>
    <t>A1: Grundfutterverzehr aller Tiere</t>
  </si>
  <si>
    <t>A4: Kraftfutterverzehr der berechtigten Kategorien</t>
  </si>
  <si>
    <t>Teil A: Grund- und Kraftfutterverzehr (Bedarf)</t>
  </si>
  <si>
    <t>B1: Grundfutterproduktion total</t>
  </si>
  <si>
    <t>Teil B: Grundfutterproduktion</t>
  </si>
  <si>
    <t>Grundfutterverzehr auf dem Betrieb</t>
  </si>
  <si>
    <t>C2: Total Wegfuhr übrige Grundfutter</t>
  </si>
  <si>
    <t>C4: Total Zufuhr übrige Grundfutter</t>
  </si>
  <si>
    <t>C5: Grundfutterproduktion ausserhalb der Futterfläche</t>
  </si>
  <si>
    <t>avec 3 exploitations</t>
  </si>
  <si>
    <t>mit 4 Betrieben</t>
  </si>
  <si>
    <t>avec 4 exploitations</t>
  </si>
  <si>
    <t>andere Kühe</t>
  </si>
  <si>
    <t>Nachweis nötig!</t>
  </si>
  <si>
    <t>A2: Grundfutterverzehr Raufutterverzehrer</t>
  </si>
  <si>
    <t>A5: Gesamtverzehr der Raufutterverzehrer</t>
  </si>
  <si>
    <t>Kraftfutter-</t>
  </si>
  <si>
    <t>Strausse &gt; 13 Monate</t>
  </si>
  <si>
    <t>Strausse &lt; 13 Monate</t>
  </si>
  <si>
    <t>Gras</t>
  </si>
  <si>
    <t>Graswürfel</t>
  </si>
  <si>
    <t>Herbe</t>
  </si>
  <si>
    <t>Mais Ganzpflanzenwürfel</t>
  </si>
  <si>
    <t>Zuckerrübenschnitzel, frisch</t>
  </si>
  <si>
    <t>Pulpe de betterave, fraîche</t>
  </si>
  <si>
    <t>Zuckerrübenschnitzel, siliert</t>
  </si>
  <si>
    <t>Zuckerrübenschnitzel, getrocknet</t>
  </si>
  <si>
    <t>Pulpe de betterave, ensilée</t>
  </si>
  <si>
    <t>Rübenblätter</t>
  </si>
  <si>
    <t>Chicorée-Wurzeln</t>
  </si>
  <si>
    <t>Abgang Obst- / Gemüseverwertung</t>
  </si>
  <si>
    <t>Racines d'endives</t>
  </si>
  <si>
    <t>Pulpe de betterave, séchée</t>
  </si>
  <si>
    <t>Verfüttertes Stroh (nur betriebseigenes)</t>
  </si>
  <si>
    <t>Verfütterte Rübenblätter (nur betriebseigene)</t>
  </si>
  <si>
    <t>Feuilles de betteraves de l'exploitation affouragées</t>
  </si>
  <si>
    <t>Kartoffeln</t>
  </si>
  <si>
    <t>Cases blanches:</t>
  </si>
  <si>
    <t xml:space="preserve">listes déroulantes </t>
  </si>
  <si>
    <t>Auswahllisten</t>
  </si>
  <si>
    <t>saisie des données</t>
  </si>
  <si>
    <t>cases bloquées à la saisie</t>
  </si>
  <si>
    <t>Ökonachweis: nicht erfüllt</t>
  </si>
  <si>
    <t>PER : pas remplies</t>
  </si>
  <si>
    <t>Ökonachweis: erfüllt</t>
  </si>
  <si>
    <t>PER : remplies</t>
  </si>
  <si>
    <t>Tiere</t>
  </si>
  <si>
    <t>bêtes</t>
  </si>
  <si>
    <t>animali</t>
  </si>
  <si>
    <t>Sömmerung</t>
  </si>
  <si>
    <t>Estivage</t>
  </si>
  <si>
    <t>Estivazione</t>
  </si>
  <si>
    <t>dt FS total</t>
  </si>
  <si>
    <t>dt MF total</t>
  </si>
  <si>
    <t>q SF totale</t>
  </si>
  <si>
    <t>dt TS total</t>
  </si>
  <si>
    <t>dt MS total</t>
  </si>
  <si>
    <t>q SS totale</t>
  </si>
  <si>
    <t>Sömmerungs-</t>
  </si>
  <si>
    <t>jours d'estivage</t>
  </si>
  <si>
    <t>tage total</t>
  </si>
  <si>
    <t>GF-Verzehr</t>
  </si>
  <si>
    <t>c. de fourrages</t>
  </si>
  <si>
    <t>C. di f. di base</t>
  </si>
  <si>
    <t>concentrés</t>
  </si>
  <si>
    <t>A6: Grundfutterverzehr Raufutterverzehrer</t>
  </si>
  <si>
    <t>A6: Consommation de fourrage de base par les animaux consommant des fourrages grossiers</t>
  </si>
  <si>
    <t>A7: Kraftfutterverzehr berechtigte Kategorien</t>
  </si>
  <si>
    <t xml:space="preserve">A7: Consommation de concentrés par les animaux autorisés </t>
  </si>
  <si>
    <t>A8: Sömmerungstage gemäss AniCalc (TVD-Auszug)</t>
  </si>
  <si>
    <t>A8: jours d'estivage selon AniCalc (BDTA)</t>
  </si>
  <si>
    <t>Ganzjahresbetrieb</t>
  </si>
  <si>
    <t>Exploitation à l'année</t>
  </si>
  <si>
    <t>[+] Verzehr während Sömmerung</t>
  </si>
  <si>
    <t>[+] Consommation durant estivage</t>
  </si>
  <si>
    <t>[+] Futter während Sömmerung</t>
  </si>
  <si>
    <t>(A5+A6+A7+C6+C7)</t>
  </si>
  <si>
    <t>(B2+A6+C3-C1-A3)</t>
  </si>
  <si>
    <t>(A4+A7 in TS)</t>
  </si>
</sst>
</file>

<file path=xl/styles.xml><?xml version="1.0" encoding="utf-8"?>
<styleSheet xmlns="http://schemas.openxmlformats.org/spreadsheetml/2006/main">
  <numFmts count="6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General_)"/>
    <numFmt numFmtId="179" formatCode="0_)"/>
    <numFmt numFmtId="180" formatCode="0.00_)"/>
    <numFmt numFmtId="181" formatCode="0.0_)"/>
    <numFmt numFmtId="182" formatCode="0.0"/>
    <numFmt numFmtId="183" formatCode="\(0.00\)"/>
    <numFmt numFmtId="184" formatCode="0__"/>
    <numFmt numFmtId="185" formatCode="0.0__"/>
    <numFmt numFmtId="186" formatCode="0_)\ "/>
    <numFmt numFmtId="187" formatCode="0\ %"/>
    <numFmt numFmtId="188" formatCode="0.0000"/>
    <numFmt numFmtId="189" formatCode="0.0\ &quot;%&quot;"/>
    <numFmt numFmtId="190" formatCode="\ \ \ \ \ @"/>
    <numFmt numFmtId="191" formatCode="0\ &quot;m.ü.M.&quot;"/>
    <numFmt numFmtId="192" formatCode="0\ &quot;Tage&quot;"/>
    <numFmt numFmtId="193" formatCode="0.00\ &quot;ha&quot;"/>
    <numFmt numFmtId="194" formatCode="0.0\ &quot;kg/Stk.&quot;"/>
    <numFmt numFmtId="195" formatCode="0\ &quot;m.ü.M&quot;"/>
    <numFmt numFmtId="196" formatCode="\-0_)"/>
    <numFmt numFmtId="197" formatCode="\(__"/>
    <numFmt numFmtId="198" formatCode="#,##0_)"/>
    <numFmt numFmtId="199" formatCode="0.000"/>
    <numFmt numFmtId="200" formatCode="0\ &quot;m&quot;"/>
    <numFmt numFmtId="201" formatCode="&quot;Ja&quot;;&quot;Ja&quot;;&quot;Nein&quot;"/>
    <numFmt numFmtId="202" formatCode="&quot;Wahr&quot;;&quot;Wahr&quot;;&quot;Falsch&quot;"/>
    <numFmt numFmtId="203" formatCode="&quot;Ein&quot;;&quot;Ein&quot;;&quot;Aus&quot;"/>
    <numFmt numFmtId="204" formatCode="[$€-2]\ #,##0.00_);[Red]\([$€-2]\ #,##0.00\)"/>
    <numFmt numFmtId="205" formatCode="__0.00"/>
    <numFmt numFmtId="206" formatCode="____0.00"/>
    <numFmt numFmtId="207" formatCode="\(____0.00"/>
    <numFmt numFmtId="208" formatCode="___0.00"/>
    <numFmt numFmtId="209" formatCode="_0.00"/>
    <numFmt numFmtId="210" formatCode="mmm\ yyyy"/>
    <numFmt numFmtId="211" formatCode="#,##0_ ;[Red]\-#,##0\ "/>
    <numFmt numFmtId="212" formatCode="0.0_);\-\ 0.0\);"/>
    <numFmt numFmtId="213" formatCode="0.0_);\-\ 0.0_);"/>
    <numFmt numFmtId="214" formatCode="#,##0_);\-\ #,##0_);"/>
    <numFmt numFmtId="215" formatCode="#,##0_);\-#,##0_);"/>
    <numFmt numFmtId="216" formatCode="General_);"/>
    <numFmt numFmtId="217" formatCode="General_);\-General_);"/>
    <numFmt numFmtId="218" formatCode="0.0_);\-0.0_);"/>
    <numFmt numFmtId="219" formatCode="0.00_);\-0.00_);"/>
  </numFmts>
  <fonts count="7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sz val="11"/>
      <color indexed="62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color indexed="60"/>
      <name val="Arial"/>
      <family val="2"/>
    </font>
    <font>
      <sz val="14"/>
      <name val="Helvetica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b/>
      <i/>
      <sz val="14"/>
      <name val="Arial"/>
      <family val="2"/>
    </font>
    <font>
      <sz val="9"/>
      <color indexed="8"/>
      <name val="Arial"/>
      <family val="2"/>
    </font>
    <font>
      <b/>
      <sz val="18"/>
      <name val="Arial"/>
      <family val="2"/>
    </font>
    <font>
      <u val="single"/>
      <sz val="10"/>
      <color indexed="12"/>
      <name val="Frutiger 45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0"/>
    </font>
    <font>
      <sz val="11"/>
      <color indexed="55"/>
      <name val="Arial"/>
      <family val="2"/>
    </font>
    <font>
      <b/>
      <sz val="10"/>
      <color indexed="55"/>
      <name val="Arial"/>
      <family val="2"/>
    </font>
    <font>
      <i/>
      <sz val="10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sz val="10.5"/>
      <name val="Calibri"/>
      <family val="2"/>
    </font>
    <font>
      <sz val="11"/>
      <name val="Century Gothic"/>
      <family val="2"/>
    </font>
    <font>
      <sz val="10"/>
      <color indexed="17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8"/>
      <name val="Arial"/>
      <family val="2"/>
    </font>
    <font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</fonts>
  <fills count="2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 style="hair"/>
    </border>
    <border>
      <left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>
        <color indexed="63"/>
      </left>
      <right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/>
      <bottom>
        <color indexed="63"/>
      </bottom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/>
      <right>
        <color indexed="63"/>
      </right>
      <top style="hair"/>
      <bottom style="hair"/>
    </border>
    <border>
      <left style="thin"/>
      <right/>
      <top style="hair"/>
      <bottom style="medium"/>
    </border>
    <border>
      <left/>
      <right/>
      <top style="hair"/>
      <bottom style="medium"/>
    </border>
    <border>
      <left/>
      <right>
        <color indexed="63"/>
      </right>
      <top style="hair"/>
      <bottom style="medium"/>
    </border>
    <border>
      <left/>
      <right style="thin"/>
      <top style="hair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/>
      <top/>
      <bottom style="hair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 style="thin"/>
      <top style="thin"/>
      <bottom style="hair"/>
    </border>
    <border>
      <left style="thin"/>
      <right style="thin"/>
      <top style="hair"/>
      <bottom style="medium"/>
    </border>
    <border>
      <left>
        <color indexed="63"/>
      </left>
      <right/>
      <top style="hair"/>
      <bottom style="thin"/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1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11" borderId="2" applyNumberFormat="0" applyAlignment="0" applyProtection="0"/>
    <xf numFmtId="0" fontId="31" fillId="0" borderId="0" applyNumberFormat="0" applyFill="0" applyBorder="0" applyAlignment="0" applyProtection="0"/>
    <xf numFmtId="0" fontId="5" fillId="11" borderId="2" applyNumberFormat="0" applyAlignment="0" applyProtection="0"/>
    <xf numFmtId="0" fontId="6" fillId="0" borderId="3" applyNumberFormat="0" applyFill="0" applyAlignment="0" applyProtection="0"/>
    <xf numFmtId="0" fontId="7" fillId="5" borderId="4" applyNumberFormat="0" applyFont="0" applyAlignment="0" applyProtection="0"/>
    <xf numFmtId="0" fontId="37" fillId="0" borderId="0">
      <alignment/>
      <protection/>
    </xf>
    <xf numFmtId="0" fontId="38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  <xf numFmtId="0" fontId="19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82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0" fillId="8" borderId="0" applyNumberFormat="0" applyBorder="0" applyAlignment="0" applyProtection="0"/>
    <xf numFmtId="0" fontId="13" fillId="11" borderId="1" applyNumberFormat="0" applyAlignment="0" applyProtection="0"/>
    <xf numFmtId="182" fontId="7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7" fillId="0" borderId="11" applyNumberFormat="0" applyFill="0" applyAlignment="0" applyProtection="0"/>
    <xf numFmtId="0" fontId="68" fillId="0" borderId="12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0" fillId="24" borderId="13" applyNumberFormat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0" fillId="24" borderId="13" applyNumberFormat="0" applyAlignment="0" applyProtection="0"/>
  </cellStyleXfs>
  <cellXfs count="801">
    <xf numFmtId="0" fontId="0" fillId="0" borderId="0" xfId="0" applyAlignment="1">
      <alignment/>
    </xf>
    <xf numFmtId="182" fontId="0" fillId="0" borderId="0" xfId="112" applyFont="1">
      <alignment/>
      <protection/>
    </xf>
    <xf numFmtId="182" fontId="0" fillId="0" borderId="14" xfId="112" applyFont="1" applyBorder="1" applyAlignment="1" applyProtection="1">
      <alignment vertical="center"/>
      <protection/>
    </xf>
    <xf numFmtId="179" fontId="0" fillId="5" borderId="15" xfId="112" applyNumberFormat="1" applyFont="1" applyFill="1" applyBorder="1" applyAlignment="1" applyProtection="1">
      <alignment vertical="center"/>
      <protection locked="0"/>
    </xf>
    <xf numFmtId="179" fontId="0" fillId="5" borderId="16" xfId="112" applyNumberFormat="1" applyFont="1" applyFill="1" applyBorder="1" applyAlignment="1" applyProtection="1">
      <alignment vertical="center"/>
      <protection locked="0"/>
    </xf>
    <xf numFmtId="189" fontId="0" fillId="5" borderId="17" xfId="112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ill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Continuous"/>
      <protection/>
    </xf>
    <xf numFmtId="0" fontId="26" fillId="0" borderId="0" xfId="0" applyNumberFormat="1" applyFont="1" applyFill="1" applyBorder="1" applyAlignment="1" applyProtection="1">
      <alignment horizontal="right"/>
      <protection/>
    </xf>
    <xf numFmtId="0" fontId="40" fillId="0" borderId="0" xfId="0" applyNumberFormat="1" applyFont="1" applyFill="1" applyBorder="1" applyAlignment="1" applyProtection="1">
      <alignment horizontal="right"/>
      <protection/>
    </xf>
    <xf numFmtId="182" fontId="42" fillId="0" borderId="0" xfId="112" applyFont="1" applyAlignment="1">
      <alignment horizontal="center" vertical="center"/>
      <protection/>
    </xf>
    <xf numFmtId="2" fontId="0" fillId="0" borderId="0" xfId="112" applyNumberFormat="1" applyFont="1">
      <alignment/>
      <protection/>
    </xf>
    <xf numFmtId="1" fontId="42" fillId="4" borderId="0" xfId="112" applyNumberFormat="1" applyFont="1" applyFill="1" applyBorder="1" applyAlignment="1">
      <alignment horizontal="center" vertical="center"/>
      <protection/>
    </xf>
    <xf numFmtId="1" fontId="42" fillId="4" borderId="19" xfId="112" applyNumberFormat="1" applyFont="1" applyFill="1" applyBorder="1" applyAlignment="1">
      <alignment horizontal="center" vertical="center"/>
      <protection/>
    </xf>
    <xf numFmtId="182" fontId="24" fillId="0" borderId="20" xfId="112" applyFont="1" applyBorder="1" applyAlignment="1">
      <alignment/>
      <protection/>
    </xf>
    <xf numFmtId="182" fontId="24" fillId="0" borderId="21" xfId="112" applyFont="1" applyBorder="1" applyAlignment="1">
      <alignment/>
      <protection/>
    </xf>
    <xf numFmtId="182" fontId="24" fillId="0" borderId="22" xfId="112" applyFont="1" applyBorder="1" applyAlignment="1">
      <alignment/>
      <protection/>
    </xf>
    <xf numFmtId="182" fontId="0" fillId="0" borderId="20" xfId="112" applyFont="1" applyBorder="1" applyAlignment="1">
      <alignment/>
      <protection/>
    </xf>
    <xf numFmtId="182" fontId="0" fillId="0" borderId="23" xfId="112" applyFont="1" applyBorder="1" applyAlignment="1">
      <alignment/>
      <protection/>
    </xf>
    <xf numFmtId="182" fontId="0" fillId="0" borderId="24" xfId="112" applyFont="1" applyBorder="1" applyAlignment="1">
      <alignment/>
      <protection/>
    </xf>
    <xf numFmtId="182" fontId="24" fillId="0" borderId="23" xfId="112" applyFont="1" applyBorder="1" applyAlignment="1">
      <alignment/>
      <protection/>
    </xf>
    <xf numFmtId="182" fontId="24" fillId="0" borderId="24" xfId="112" applyFont="1" applyBorder="1" applyAlignment="1">
      <alignment/>
      <protection/>
    </xf>
    <xf numFmtId="182" fontId="24" fillId="0" borderId="23" xfId="112" applyFont="1" applyBorder="1" applyAlignment="1">
      <alignment horizontal="center" vertical="center"/>
      <protection/>
    </xf>
    <xf numFmtId="182" fontId="24" fillId="0" borderId="23" xfId="112" applyFont="1" applyBorder="1" applyAlignment="1">
      <alignment horizontal="center" vertical="center" wrapText="1"/>
      <protection/>
    </xf>
    <xf numFmtId="182" fontId="0" fillId="0" borderId="25" xfId="112" applyFont="1" applyBorder="1" applyAlignment="1">
      <alignment/>
      <protection/>
    </xf>
    <xf numFmtId="182" fontId="0" fillId="0" borderId="26" xfId="112" applyFont="1" applyBorder="1" applyAlignment="1">
      <alignment/>
      <protection/>
    </xf>
    <xf numFmtId="182" fontId="24" fillId="0" borderId="25" xfId="112" applyFont="1" applyBorder="1" applyAlignment="1">
      <alignment horizontal="center" vertical="center"/>
      <protection/>
    </xf>
    <xf numFmtId="182" fontId="24" fillId="0" borderId="25" xfId="112" applyFont="1" applyBorder="1" applyAlignment="1">
      <alignment horizontal="center" vertical="center" wrapText="1"/>
      <protection/>
    </xf>
    <xf numFmtId="182" fontId="0" fillId="5" borderId="21" xfId="112" applyFont="1" applyFill="1" applyBorder="1" applyAlignment="1">
      <alignment vertical="center"/>
      <protection/>
    </xf>
    <xf numFmtId="184" fontId="0" fillId="2" borderId="21" xfId="112" applyNumberFormat="1" applyFont="1" applyFill="1" applyBorder="1" applyAlignment="1">
      <alignment horizontal="center" vertical="center"/>
      <protection/>
    </xf>
    <xf numFmtId="182" fontId="0" fillId="5" borderId="23" xfId="112" applyFont="1" applyFill="1" applyBorder="1" applyAlignment="1">
      <alignment vertical="center"/>
      <protection/>
    </xf>
    <xf numFmtId="181" fontId="0" fillId="4" borderId="23" xfId="112" applyNumberFormat="1" applyFont="1" applyFill="1" applyBorder="1" applyAlignment="1">
      <alignment horizontal="center" vertical="center"/>
      <protection/>
    </xf>
    <xf numFmtId="184" fontId="0" fillId="2" borderId="23" xfId="112" applyNumberFormat="1" applyFont="1" applyFill="1" applyBorder="1" applyAlignment="1">
      <alignment horizontal="center" vertical="center"/>
      <protection/>
    </xf>
    <xf numFmtId="182" fontId="0" fillId="5" borderId="15" xfId="112" applyFont="1" applyFill="1" applyBorder="1" applyAlignment="1">
      <alignment vertical="center"/>
      <protection/>
    </xf>
    <xf numFmtId="181" fontId="0" fillId="4" borderId="15" xfId="112" applyNumberFormat="1" applyFont="1" applyFill="1" applyBorder="1" applyAlignment="1">
      <alignment horizontal="center" vertical="center"/>
      <protection/>
    </xf>
    <xf numFmtId="184" fontId="0" fillId="2" borderId="15" xfId="112" applyNumberFormat="1" applyFont="1" applyFill="1" applyBorder="1" applyAlignment="1">
      <alignment horizontal="center" vertical="center"/>
      <protection/>
    </xf>
    <xf numFmtId="182" fontId="0" fillId="2" borderId="23" xfId="112" applyNumberFormat="1" applyFont="1" applyFill="1" applyBorder="1" applyAlignment="1">
      <alignment horizontal="center" vertical="center"/>
      <protection/>
    </xf>
    <xf numFmtId="182" fontId="0" fillId="2" borderId="15" xfId="112" applyNumberFormat="1" applyFont="1" applyFill="1" applyBorder="1" applyAlignment="1">
      <alignment horizontal="center" vertical="center"/>
      <protection/>
    </xf>
    <xf numFmtId="181" fontId="0" fillId="2" borderId="23" xfId="112" applyNumberFormat="1" applyFont="1" applyFill="1" applyBorder="1" applyAlignment="1">
      <alignment horizontal="center" vertical="center"/>
      <protection/>
    </xf>
    <xf numFmtId="185" fontId="0" fillId="2" borderId="23" xfId="112" applyNumberFormat="1" applyFont="1" applyFill="1" applyBorder="1" applyAlignment="1">
      <alignment horizontal="center" vertical="center"/>
      <protection/>
    </xf>
    <xf numFmtId="185" fontId="0" fillId="2" borderId="15" xfId="112" applyNumberFormat="1" applyFont="1" applyFill="1" applyBorder="1" applyAlignment="1">
      <alignment horizontal="center" vertical="center"/>
      <protection/>
    </xf>
    <xf numFmtId="1" fontId="0" fillId="2" borderId="23" xfId="112" applyNumberFormat="1" applyFont="1" applyFill="1" applyBorder="1" applyAlignment="1">
      <alignment horizontal="center" vertical="center"/>
      <protection/>
    </xf>
    <xf numFmtId="181" fontId="0" fillId="2" borderId="15" xfId="112" applyNumberFormat="1" applyFont="1" applyFill="1" applyBorder="1" applyAlignment="1">
      <alignment horizontal="center" vertical="center"/>
      <protection/>
    </xf>
    <xf numFmtId="181" fontId="0" fillId="2" borderId="16" xfId="112" applyNumberFormat="1" applyFont="1" applyFill="1" applyBorder="1" applyAlignment="1">
      <alignment horizontal="center" vertical="center"/>
      <protection/>
    </xf>
    <xf numFmtId="180" fontId="0" fillId="2" borderId="23" xfId="112" applyNumberFormat="1" applyFont="1" applyFill="1" applyBorder="1" applyAlignment="1">
      <alignment horizontal="center" vertical="center"/>
      <protection/>
    </xf>
    <xf numFmtId="182" fontId="33" fillId="0" borderId="0" xfId="112" applyFont="1">
      <alignment/>
      <protection/>
    </xf>
    <xf numFmtId="182" fontId="32" fillId="0" borderId="0" xfId="112" applyFont="1">
      <alignment/>
      <protection/>
    </xf>
    <xf numFmtId="182" fontId="0" fillId="5" borderId="27" xfId="112" applyFont="1" applyFill="1" applyBorder="1" applyAlignment="1">
      <alignment vertical="center"/>
      <protection/>
    </xf>
    <xf numFmtId="182" fontId="0" fillId="0" borderId="0" xfId="112" applyNumberFormat="1" applyFont="1" applyFill="1" applyBorder="1" applyAlignment="1" applyProtection="1">
      <alignment vertical="center"/>
      <protection/>
    </xf>
    <xf numFmtId="178" fontId="0" fillId="0" borderId="28" xfId="112" applyNumberFormat="1" applyFont="1" applyFill="1" applyBorder="1" applyAlignment="1" applyProtection="1">
      <alignment vertical="center"/>
      <protection/>
    </xf>
    <xf numFmtId="182" fontId="0" fillId="5" borderId="29" xfId="112" applyFont="1" applyFill="1" applyBorder="1" applyAlignment="1">
      <alignment vertical="center"/>
      <protection/>
    </xf>
    <xf numFmtId="184" fontId="0" fillId="2" borderId="29" xfId="112" applyNumberFormat="1" applyFont="1" applyFill="1" applyBorder="1" applyAlignment="1">
      <alignment horizontal="center" vertical="center"/>
      <protection/>
    </xf>
    <xf numFmtId="179" fontId="0" fillId="5" borderId="30" xfId="112" applyNumberFormat="1" applyFont="1" applyFill="1" applyBorder="1" applyAlignment="1" applyProtection="1">
      <alignment vertical="center"/>
      <protection locked="0"/>
    </xf>
    <xf numFmtId="179" fontId="0" fillId="0" borderId="16" xfId="112" applyNumberFormat="1" applyFont="1" applyFill="1" applyBorder="1" applyAlignment="1" applyProtection="1">
      <alignment horizontal="center" vertical="center"/>
      <protection/>
    </xf>
    <xf numFmtId="179" fontId="0" fillId="7" borderId="16" xfId="112" applyNumberFormat="1" applyFont="1" applyFill="1" applyBorder="1" applyAlignment="1" applyProtection="1">
      <alignment horizontal="center" vertical="center"/>
      <protection locked="0"/>
    </xf>
    <xf numFmtId="179" fontId="0" fillId="5" borderId="17" xfId="112" applyNumberFormat="1" applyFont="1" applyFill="1" applyBorder="1" applyAlignment="1" applyProtection="1">
      <alignment horizontal="center" vertical="center"/>
      <protection locked="0"/>
    </xf>
    <xf numFmtId="182" fontId="0" fillId="0" borderId="31" xfId="112" applyFont="1" applyBorder="1" applyAlignment="1" applyProtection="1">
      <alignment vertical="center"/>
      <protection/>
    </xf>
    <xf numFmtId="179" fontId="0" fillId="5" borderId="27" xfId="112" applyNumberFormat="1" applyFont="1" applyFill="1" applyBorder="1" applyAlignment="1" applyProtection="1">
      <alignment vertical="center"/>
      <protection locked="0"/>
    </xf>
    <xf numFmtId="179" fontId="0" fillId="7" borderId="32" xfId="112" applyNumberFormat="1" applyFont="1" applyFill="1" applyBorder="1" applyAlignment="1" applyProtection="1">
      <alignment horizontal="center" vertical="center"/>
      <protection locked="0"/>
    </xf>
    <xf numFmtId="179" fontId="0" fillId="5" borderId="33" xfId="112" applyNumberFormat="1" applyFont="1" applyFill="1" applyBorder="1" applyAlignment="1" applyProtection="1">
      <alignment vertical="center"/>
      <protection locked="0"/>
    </xf>
    <xf numFmtId="189" fontId="0" fillId="5" borderId="17" xfId="112" applyNumberFormat="1" applyFont="1" applyFill="1" applyBorder="1" applyAlignment="1" applyProtection="1">
      <alignment horizontal="center" vertical="center"/>
      <protection locked="0"/>
    </xf>
    <xf numFmtId="182" fontId="0" fillId="0" borderId="34" xfId="112" applyFont="1" applyBorder="1" applyAlignment="1" applyProtection="1">
      <alignment vertical="center"/>
      <protection/>
    </xf>
    <xf numFmtId="179" fontId="0" fillId="5" borderId="35" xfId="112" applyNumberFormat="1" applyFont="1" applyFill="1" applyBorder="1" applyAlignment="1" applyProtection="1">
      <alignment vertical="center"/>
      <protection locked="0"/>
    </xf>
    <xf numFmtId="179" fontId="0" fillId="0" borderId="35" xfId="112" applyNumberFormat="1" applyFont="1" applyFill="1" applyBorder="1" applyAlignment="1" applyProtection="1">
      <alignment horizontal="center" vertical="center"/>
      <protection/>
    </xf>
    <xf numFmtId="182" fontId="0" fillId="5" borderId="36" xfId="112" applyFont="1" applyFill="1" applyBorder="1" applyAlignment="1" applyProtection="1">
      <alignment vertical="center"/>
      <protection locked="0"/>
    </xf>
    <xf numFmtId="182" fontId="0" fillId="5" borderId="36" xfId="112" applyFont="1" applyFill="1" applyBorder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>
      <alignment/>
      <protection/>
    </xf>
    <xf numFmtId="182" fontId="0" fillId="2" borderId="23" xfId="112" applyFont="1" applyFill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7" borderId="37" xfId="0" applyFill="1" applyBorder="1" applyAlignment="1" applyProtection="1">
      <alignment/>
      <protection/>
    </xf>
    <xf numFmtId="49" fontId="0" fillId="5" borderId="37" xfId="0" applyNumberFormat="1" applyFont="1" applyFill="1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182" fontId="24" fillId="0" borderId="38" xfId="112" applyFont="1" applyFill="1" applyBorder="1" applyAlignment="1" applyProtection="1">
      <alignment vertical="center"/>
      <protection/>
    </xf>
    <xf numFmtId="0" fontId="24" fillId="0" borderId="38" xfId="112" applyNumberFormat="1" applyFont="1" applyFill="1" applyBorder="1" applyAlignment="1" applyProtection="1">
      <alignment horizontal="center" vertical="center"/>
      <protection/>
    </xf>
    <xf numFmtId="1" fontId="24" fillId="0" borderId="38" xfId="112" applyNumberFormat="1" applyFont="1" applyFill="1" applyBorder="1" applyAlignment="1" applyProtection="1">
      <alignment horizontal="center"/>
      <protection/>
    </xf>
    <xf numFmtId="181" fontId="24" fillId="0" borderId="38" xfId="112" applyNumberFormat="1" applyFont="1" applyFill="1" applyBorder="1" applyAlignment="1" applyProtection="1">
      <alignment vertical="center"/>
      <protection/>
    </xf>
    <xf numFmtId="182" fontId="24" fillId="0" borderId="38" xfId="112" applyNumberFormat="1" applyFont="1" applyFill="1" applyBorder="1" applyAlignment="1" applyProtection="1">
      <alignment vertical="center"/>
      <protection/>
    </xf>
    <xf numFmtId="2" fontId="42" fillId="0" borderId="0" xfId="112" applyNumberFormat="1" applyFont="1" applyAlignment="1">
      <alignment horizontal="center" vertical="center"/>
      <protection/>
    </xf>
    <xf numFmtId="2" fontId="42" fillId="4" borderId="0" xfId="112" applyNumberFormat="1" applyFont="1" applyFill="1" applyBorder="1" applyAlignment="1">
      <alignment horizontal="center" vertical="center"/>
      <protection/>
    </xf>
    <xf numFmtId="182" fontId="0" fillId="0" borderId="0" xfId="112" applyFont="1" applyFill="1" applyAlignment="1" applyProtection="1">
      <alignment vertical="center"/>
      <protection hidden="1"/>
    </xf>
    <xf numFmtId="180" fontId="0" fillId="5" borderId="14" xfId="112" applyNumberFormat="1" applyFont="1" applyFill="1" applyBorder="1" applyAlignment="1" applyProtection="1">
      <alignment vertical="center"/>
      <protection locked="0"/>
    </xf>
    <xf numFmtId="184" fontId="0" fillId="5" borderId="14" xfId="112" applyNumberFormat="1" applyFont="1" applyFill="1" applyBorder="1" applyAlignment="1" applyProtection="1">
      <alignment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24" fillId="5" borderId="39" xfId="0" applyNumberFormat="1" applyFont="1" applyFill="1" applyBorder="1" applyAlignment="1" applyProtection="1">
      <alignment horizontal="left"/>
      <protection locked="0"/>
    </xf>
    <xf numFmtId="0" fontId="0" fillId="5" borderId="39" xfId="0" applyNumberFormat="1" applyFont="1" applyFill="1" applyBorder="1" applyAlignment="1" applyProtection="1">
      <alignment horizontal="left"/>
      <protection/>
    </xf>
    <xf numFmtId="0" fontId="0" fillId="5" borderId="39" xfId="0" applyNumberFormat="1" applyFont="1" applyFill="1" applyBorder="1" applyAlignment="1" applyProtection="1">
      <alignment horizontal="left"/>
      <protection locked="0"/>
    </xf>
    <xf numFmtId="0" fontId="0" fillId="5" borderId="39" xfId="0" applyNumberFormat="1" applyFont="1" applyFill="1" applyBorder="1" applyAlignment="1" applyProtection="1">
      <alignment/>
      <protection/>
    </xf>
    <xf numFmtId="49" fontId="0" fillId="5" borderId="39" xfId="0" applyNumberFormat="1" applyFont="1" applyFill="1" applyBorder="1" applyAlignment="1" applyProtection="1">
      <alignment/>
      <protection locked="0"/>
    </xf>
    <xf numFmtId="49" fontId="0" fillId="5" borderId="39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49" fontId="43" fillId="5" borderId="39" xfId="97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1" fontId="1" fillId="0" borderId="0" xfId="112" applyNumberFormat="1" applyFont="1" applyBorder="1" applyAlignment="1" applyProtection="1">
      <alignment horizontal="right"/>
      <protection hidden="1"/>
    </xf>
    <xf numFmtId="0" fontId="0" fillId="0" borderId="0" xfId="0" applyFill="1" applyAlignment="1" quotePrefix="1">
      <alignment/>
    </xf>
    <xf numFmtId="198" fontId="0" fillId="5" borderId="15" xfId="112" applyNumberFormat="1" applyFont="1" applyFill="1" applyBorder="1" applyAlignment="1" applyProtection="1">
      <alignment vertical="center"/>
      <protection locked="0"/>
    </xf>
    <xf numFmtId="198" fontId="0" fillId="5" borderId="30" xfId="112" applyNumberFormat="1" applyFont="1" applyFill="1" applyBorder="1" applyAlignment="1" applyProtection="1">
      <alignment vertical="center"/>
      <protection locked="0"/>
    </xf>
    <xf numFmtId="198" fontId="0" fillId="5" borderId="16" xfId="112" applyNumberFormat="1" applyFont="1" applyFill="1" applyBorder="1" applyAlignment="1" applyProtection="1">
      <alignment vertical="center"/>
      <protection locked="0"/>
    </xf>
    <xf numFmtId="198" fontId="0" fillId="5" borderId="27" xfId="112" applyNumberFormat="1" applyFont="1" applyFill="1" applyBorder="1" applyAlignment="1" applyProtection="1">
      <alignment vertical="center"/>
      <protection locked="0"/>
    </xf>
    <xf numFmtId="198" fontId="0" fillId="5" borderId="33" xfId="112" applyNumberFormat="1" applyFont="1" applyFill="1" applyBorder="1" applyAlignment="1" applyProtection="1">
      <alignment vertical="center"/>
      <protection locked="0"/>
    </xf>
    <xf numFmtId="198" fontId="0" fillId="5" borderId="35" xfId="112" applyNumberFormat="1" applyFont="1" applyFill="1" applyBorder="1" applyAlignment="1" applyProtection="1">
      <alignment vertical="center"/>
      <protection locked="0"/>
    </xf>
    <xf numFmtId="198" fontId="0" fillId="5" borderId="14" xfId="112" applyNumberFormat="1" applyFont="1" applyFill="1" applyBorder="1" applyAlignment="1" applyProtection="1">
      <alignment vertical="center"/>
      <protection locked="0"/>
    </xf>
    <xf numFmtId="198" fontId="0" fillId="5" borderId="31" xfId="112" applyNumberFormat="1" applyFont="1" applyFill="1" applyBorder="1" applyAlignment="1" applyProtection="1">
      <alignment vertical="center"/>
      <protection locked="0"/>
    </xf>
    <xf numFmtId="181" fontId="0" fillId="5" borderId="16" xfId="112" applyNumberFormat="1" applyFont="1" applyFill="1" applyBorder="1" applyAlignment="1" applyProtection="1">
      <alignment vertical="center"/>
      <protection locked="0"/>
    </xf>
    <xf numFmtId="181" fontId="0" fillId="5" borderId="35" xfId="112" applyNumberFormat="1" applyFont="1" applyFill="1" applyBorder="1" applyAlignment="1" applyProtection="1">
      <alignment vertical="center"/>
      <protection locked="0"/>
    </xf>
    <xf numFmtId="178" fontId="0" fillId="5" borderId="16" xfId="112" applyNumberFormat="1" applyFont="1" applyFill="1" applyBorder="1" applyAlignment="1" applyProtection="1">
      <alignment vertical="center"/>
      <protection locked="0"/>
    </xf>
    <xf numFmtId="178" fontId="0" fillId="5" borderId="21" xfId="112" applyNumberFormat="1" applyFont="1" applyFill="1" applyBorder="1" applyAlignment="1" applyProtection="1">
      <alignment/>
      <protection locked="0"/>
    </xf>
    <xf numFmtId="178" fontId="0" fillId="5" borderId="16" xfId="112" applyNumberFormat="1" applyFont="1" applyFill="1" applyBorder="1" applyAlignment="1" applyProtection="1">
      <alignment/>
      <protection locked="0"/>
    </xf>
    <xf numFmtId="178" fontId="0" fillId="5" borderId="16" xfId="112" applyNumberFormat="1" applyFont="1" applyFill="1" applyBorder="1" applyAlignment="1" applyProtection="1">
      <alignment/>
      <protection locked="0"/>
    </xf>
    <xf numFmtId="178" fontId="0" fillId="5" borderId="27" xfId="112" applyNumberFormat="1" applyFont="1" applyFill="1" applyBorder="1" applyAlignment="1" applyProtection="1">
      <alignment vertical="center"/>
      <protection locked="0"/>
    </xf>
    <xf numFmtId="178" fontId="0" fillId="5" borderId="35" xfId="112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78" fontId="0" fillId="0" borderId="0" xfId="112" applyNumberFormat="1" applyFont="1" applyFill="1" applyBorder="1" applyAlignment="1" applyProtection="1">
      <alignment horizontal="left" vertical="center"/>
      <protection hidden="1"/>
    </xf>
    <xf numFmtId="0" fontId="24" fillId="0" borderId="0" xfId="0" applyNumberFormat="1" applyFont="1" applyFill="1" applyBorder="1" applyAlignment="1" applyProtection="1">
      <alignment horizontal="right" indent="1"/>
      <protection/>
    </xf>
    <xf numFmtId="0" fontId="0" fillId="0" borderId="40" xfId="112" applyNumberFormat="1" applyFont="1" applyBorder="1" applyAlignment="1" applyProtection="1">
      <alignment horizontal="center" vertical="center"/>
      <protection/>
    </xf>
    <xf numFmtId="0" fontId="0" fillId="0" borderId="41" xfId="112" applyNumberFormat="1" applyFont="1" applyBorder="1" applyAlignment="1" applyProtection="1">
      <alignment horizontal="center" vertical="center"/>
      <protection/>
    </xf>
    <xf numFmtId="0" fontId="0" fillId="0" borderId="42" xfId="112" applyNumberFormat="1" applyFont="1" applyBorder="1" applyAlignment="1" applyProtection="1">
      <alignment horizontal="center" vertical="center"/>
      <protection/>
    </xf>
    <xf numFmtId="0" fontId="0" fillId="0" borderId="40" xfId="112" applyNumberFormat="1" applyFont="1" applyFill="1" applyBorder="1" applyAlignment="1" applyProtection="1">
      <alignment horizontal="center" vertical="center"/>
      <protection/>
    </xf>
    <xf numFmtId="181" fontId="0" fillId="4" borderId="33" xfId="112" applyNumberFormat="1" applyFont="1" applyFill="1" applyBorder="1" applyAlignment="1">
      <alignment horizontal="center" vertical="center"/>
      <protection/>
    </xf>
    <xf numFmtId="184" fontId="0" fillId="2" borderId="33" xfId="112" applyNumberFormat="1" applyFont="1" applyFill="1" applyBorder="1" applyAlignment="1">
      <alignment horizontal="center" vertical="center"/>
      <protection/>
    </xf>
    <xf numFmtId="181" fontId="0" fillId="4" borderId="29" xfId="112" applyNumberFormat="1" applyFont="1" applyFill="1" applyBorder="1" applyAlignment="1">
      <alignment horizontal="center" vertical="center"/>
      <protection/>
    </xf>
    <xf numFmtId="181" fontId="0" fillId="4" borderId="43" xfId="112" applyNumberFormat="1" applyFont="1" applyFill="1" applyBorder="1" applyAlignment="1">
      <alignment horizontal="center" vertical="center"/>
      <protection/>
    </xf>
    <xf numFmtId="184" fontId="0" fillId="2" borderId="43" xfId="112" applyNumberFormat="1" applyFont="1" applyFill="1" applyBorder="1" applyAlignment="1">
      <alignment horizontal="center" vertical="center"/>
      <protection/>
    </xf>
    <xf numFmtId="2" fontId="42" fillId="4" borderId="43" xfId="112" applyNumberFormat="1" applyFont="1" applyFill="1" applyBorder="1" applyAlignment="1">
      <alignment horizontal="center" vertical="center"/>
      <protection/>
    </xf>
    <xf numFmtId="182" fontId="24" fillId="0" borderId="21" xfId="112" applyFont="1" applyBorder="1" applyAlignment="1">
      <alignment horizontal="center"/>
      <protection/>
    </xf>
    <xf numFmtId="2" fontId="24" fillId="4" borderId="43" xfId="112" applyNumberFormat="1" applyFont="1" applyFill="1" applyBorder="1" applyAlignment="1">
      <alignment horizontal="center" vertical="center"/>
      <protection/>
    </xf>
    <xf numFmtId="2" fontId="0" fillId="0" borderId="33" xfId="112" applyNumberFormat="1" applyFont="1" applyBorder="1" applyAlignment="1">
      <alignment horizontal="center"/>
      <protection/>
    </xf>
    <xf numFmtId="2" fontId="0" fillId="0" borderId="43" xfId="112" applyNumberFormat="1" applyFont="1" applyBorder="1" applyAlignment="1">
      <alignment horizontal="center"/>
      <protection/>
    </xf>
    <xf numFmtId="2" fontId="0" fillId="0" borderId="43" xfId="112" applyNumberFormat="1" applyFont="1" applyFill="1" applyBorder="1" applyAlignment="1">
      <alignment horizontal="center"/>
      <protection/>
    </xf>
    <xf numFmtId="2" fontId="0" fillId="0" borderId="44" xfId="112" applyNumberFormat="1" applyFont="1" applyBorder="1" applyAlignment="1">
      <alignment horizontal="center"/>
      <protection/>
    </xf>
    <xf numFmtId="2" fontId="0" fillId="0" borderId="27" xfId="112" applyNumberFormat="1" applyFont="1" applyBorder="1" applyAlignment="1">
      <alignment horizontal="center"/>
      <protection/>
    </xf>
    <xf numFmtId="2" fontId="0" fillId="0" borderId="27" xfId="112" applyNumberFormat="1" applyFont="1" applyFill="1" applyBorder="1" applyAlignment="1">
      <alignment horizontal="center"/>
      <protection/>
    </xf>
    <xf numFmtId="182" fontId="0" fillId="5" borderId="44" xfId="112" applyFont="1" applyFill="1" applyBorder="1" applyAlignment="1">
      <alignment vertical="center"/>
      <protection/>
    </xf>
    <xf numFmtId="181" fontId="0" fillId="2" borderId="25" xfId="112" applyNumberFormat="1" applyFont="1" applyFill="1" applyBorder="1" applyAlignment="1">
      <alignment horizontal="center" vertical="center"/>
      <protection/>
    </xf>
    <xf numFmtId="181" fontId="0" fillId="4" borderId="25" xfId="112" applyNumberFormat="1" applyFont="1" applyFill="1" applyBorder="1" applyAlignment="1">
      <alignment horizontal="center" vertical="center"/>
      <protection/>
    </xf>
    <xf numFmtId="182" fontId="42" fillId="5" borderId="0" xfId="112" applyFont="1" applyFill="1" applyAlignment="1">
      <alignment horizontal="centerContinuous" vertic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50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193" fontId="0" fillId="5" borderId="39" xfId="0" applyNumberFormat="1" applyFont="1" applyFill="1" applyBorder="1" applyAlignment="1" applyProtection="1">
      <alignment horizontal="left"/>
      <protection locked="0"/>
    </xf>
    <xf numFmtId="182" fontId="33" fillId="4" borderId="0" xfId="112" applyFont="1" applyFill="1" applyBorder="1" applyAlignment="1" applyProtection="1">
      <alignment vertical="center"/>
      <protection/>
    </xf>
    <xf numFmtId="0" fontId="50" fillId="0" borderId="0" xfId="0" applyFont="1" applyAlignment="1" applyProtection="1">
      <alignment/>
      <protection/>
    </xf>
    <xf numFmtId="182" fontId="0" fillId="0" borderId="0" xfId="112" applyFont="1" applyAlignment="1" applyProtection="1">
      <alignment horizontal="left"/>
      <protection/>
    </xf>
    <xf numFmtId="182" fontId="0" fillId="0" borderId="0" xfId="112" applyFont="1" applyAlignment="1" applyProtection="1">
      <alignment/>
      <protection/>
    </xf>
    <xf numFmtId="1" fontId="50" fillId="0" borderId="0" xfId="112" applyNumberFormat="1" applyFont="1" applyFill="1" applyBorder="1" applyAlignment="1" applyProtection="1">
      <alignment horizontal="center" vertical="center"/>
      <protection/>
    </xf>
    <xf numFmtId="1" fontId="50" fillId="0" borderId="0" xfId="112" applyNumberFormat="1" applyFont="1" applyFill="1" applyBorder="1" applyAlignment="1" applyProtection="1">
      <alignment horizontal="right" vertical="center"/>
      <protection/>
    </xf>
    <xf numFmtId="1" fontId="0" fillId="0" borderId="0" xfId="112" applyNumberFormat="1" applyFont="1" applyFill="1" applyBorder="1" applyAlignment="1" applyProtection="1">
      <alignment horizontal="right" vertical="center"/>
      <protection/>
    </xf>
    <xf numFmtId="1" fontId="0" fillId="0" borderId="0" xfId="112" applyNumberFormat="1" applyFont="1" applyFill="1" applyBorder="1" applyAlignment="1" applyProtection="1">
      <alignment vertical="center"/>
      <protection/>
    </xf>
    <xf numFmtId="1" fontId="50" fillId="0" borderId="0" xfId="112" applyNumberFormat="1" applyFont="1" applyFill="1" applyBorder="1" applyAlignment="1" applyProtection="1">
      <alignment vertical="center"/>
      <protection/>
    </xf>
    <xf numFmtId="1" fontId="0" fillId="0" borderId="0" xfId="112" applyNumberFormat="1" applyFont="1" applyFill="1" applyBorder="1" applyAlignment="1" applyProtection="1">
      <alignment horizontal="center" vertical="center"/>
      <protection/>
    </xf>
    <xf numFmtId="1" fontId="46" fillId="0" borderId="0" xfId="112" applyNumberFormat="1" applyFont="1" applyFill="1" applyBorder="1" applyAlignment="1" applyProtection="1">
      <alignment horizontal="center" vertical="center"/>
      <protection/>
    </xf>
    <xf numFmtId="182" fontId="50" fillId="0" borderId="0" xfId="112" applyFont="1">
      <alignment/>
      <protection/>
    </xf>
    <xf numFmtId="199" fontId="50" fillId="0" borderId="0" xfId="112" applyNumberFormat="1" applyFont="1">
      <alignment/>
      <protection/>
    </xf>
    <xf numFmtId="182" fontId="50" fillId="0" borderId="0" xfId="112" applyFont="1" applyAlignment="1">
      <alignment horizontal="left"/>
      <protection/>
    </xf>
    <xf numFmtId="0" fontId="24" fillId="0" borderId="0" xfId="0" applyFont="1" applyAlignment="1" applyProtection="1">
      <alignment/>
      <protection/>
    </xf>
    <xf numFmtId="0" fontId="0" fillId="0" borderId="0" xfId="0" applyFill="1" applyBorder="1" applyAlignment="1">
      <alignment/>
    </xf>
    <xf numFmtId="0" fontId="48" fillId="0" borderId="0" xfId="0" applyFont="1" applyAlignment="1" applyProtection="1">
      <alignment horizontal="left"/>
      <protection/>
    </xf>
    <xf numFmtId="0" fontId="53" fillId="0" borderId="0" xfId="0" applyFont="1" applyAlignment="1" applyProtection="1">
      <alignment/>
      <protection/>
    </xf>
    <xf numFmtId="192" fontId="0" fillId="7" borderId="39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Border="1" applyAlignment="1" applyProtection="1">
      <alignment horizontal="right"/>
      <protection/>
    </xf>
    <xf numFmtId="182" fontId="0" fillId="0" borderId="0" xfId="112" applyFont="1" applyAlignment="1" applyProtection="1">
      <alignment vertical="center"/>
      <protection/>
    </xf>
    <xf numFmtId="1" fontId="0" fillId="0" borderId="0" xfId="112" applyNumberFormat="1" applyFont="1" applyAlignment="1" applyProtection="1">
      <alignment vertical="center"/>
      <protection/>
    </xf>
    <xf numFmtId="182" fontId="0" fillId="0" borderId="0" xfId="112" applyNumberFormat="1" applyFont="1" applyAlignment="1" applyProtection="1">
      <alignment vertical="center"/>
      <protection/>
    </xf>
    <xf numFmtId="182" fontId="32" fillId="0" borderId="0" xfId="112" applyFont="1" applyAlignment="1" applyProtection="1">
      <alignment vertical="center"/>
      <protection/>
    </xf>
    <xf numFmtId="182" fontId="45" fillId="0" borderId="0" xfId="112" applyFont="1" applyAlignment="1" applyProtection="1">
      <alignment vertical="center"/>
      <protection/>
    </xf>
    <xf numFmtId="178" fontId="22" fillId="0" borderId="0" xfId="112" applyNumberFormat="1" applyFont="1" applyBorder="1" applyAlignment="1" applyProtection="1">
      <alignment vertical="center"/>
      <protection/>
    </xf>
    <xf numFmtId="182" fontId="0" fillId="0" borderId="0" xfId="112" applyFont="1" applyBorder="1" applyAlignment="1" applyProtection="1">
      <alignment vertical="center"/>
      <protection/>
    </xf>
    <xf numFmtId="1" fontId="25" fillId="0" borderId="0" xfId="112" applyNumberFormat="1" applyFont="1" applyBorder="1" applyAlignment="1" applyProtection="1">
      <alignment horizontal="right" vertical="center"/>
      <protection/>
    </xf>
    <xf numFmtId="182" fontId="33" fillId="4" borderId="0" xfId="112" applyFont="1" applyFill="1" applyAlignment="1" applyProtection="1">
      <alignment vertical="center"/>
      <protection/>
    </xf>
    <xf numFmtId="182" fontId="0" fillId="0" borderId="0" xfId="112" applyFont="1" applyProtection="1">
      <alignment/>
      <protection/>
    </xf>
    <xf numFmtId="182" fontId="0" fillId="0" borderId="0" xfId="112" applyFont="1" applyBorder="1" applyAlignment="1" applyProtection="1">
      <alignment vertical="center"/>
      <protection/>
    </xf>
    <xf numFmtId="182" fontId="0" fillId="0" borderId="0" xfId="112" applyFont="1" applyBorder="1" applyAlignment="1" applyProtection="1">
      <alignment vertical="center"/>
      <protection/>
    </xf>
    <xf numFmtId="182" fontId="0" fillId="0" borderId="0" xfId="112" applyFont="1" applyBorder="1" applyAlignment="1" applyProtection="1">
      <alignment vertical="center"/>
      <protection/>
    </xf>
    <xf numFmtId="182" fontId="0" fillId="0" borderId="0" xfId="112" applyFont="1" applyBorder="1" applyAlignment="1" applyProtection="1">
      <alignment vertical="center"/>
      <protection/>
    </xf>
    <xf numFmtId="1" fontId="1" fillId="0" borderId="0" xfId="112" applyNumberFormat="1" applyFont="1" applyBorder="1" applyAlignment="1" applyProtection="1">
      <alignment/>
      <protection/>
    </xf>
    <xf numFmtId="182" fontId="32" fillId="0" borderId="0" xfId="112" applyFont="1" applyBorder="1" applyAlignment="1" applyProtection="1">
      <alignment vertical="center"/>
      <protection/>
    </xf>
    <xf numFmtId="178" fontId="22" fillId="0" borderId="18" xfId="112" applyNumberFormat="1" applyFont="1" applyBorder="1" applyAlignment="1" applyProtection="1">
      <alignment vertical="center"/>
      <protection/>
    </xf>
    <xf numFmtId="178" fontId="22" fillId="0" borderId="18" xfId="112" applyNumberFormat="1" applyFont="1" applyBorder="1" applyAlignment="1" applyProtection="1">
      <alignment vertical="center"/>
      <protection/>
    </xf>
    <xf numFmtId="182" fontId="0" fillId="0" borderId="18" xfId="112" applyFont="1" applyBorder="1" applyAlignment="1" applyProtection="1">
      <alignment vertical="center"/>
      <protection/>
    </xf>
    <xf numFmtId="182" fontId="22" fillId="0" borderId="18" xfId="112" applyFont="1" applyBorder="1" applyAlignment="1" applyProtection="1">
      <alignment vertical="center"/>
      <protection/>
    </xf>
    <xf numFmtId="182" fontId="27" fillId="0" borderId="18" xfId="112" applyFont="1" applyBorder="1" applyAlignment="1" applyProtection="1">
      <alignment vertical="center"/>
      <protection/>
    </xf>
    <xf numFmtId="182" fontId="32" fillId="0" borderId="0" xfId="112" applyFont="1" applyBorder="1" applyAlignment="1" applyProtection="1">
      <alignment horizontal="centerContinuous" vertical="center"/>
      <protection/>
    </xf>
    <xf numFmtId="178" fontId="22" fillId="0" borderId="0" xfId="112" applyNumberFormat="1" applyFont="1" applyBorder="1" applyAlignment="1" applyProtection="1">
      <alignment vertical="center"/>
      <protection/>
    </xf>
    <xf numFmtId="182" fontId="22" fillId="0" borderId="0" xfId="112" applyFont="1" applyBorder="1" applyAlignment="1" applyProtection="1">
      <alignment vertical="center"/>
      <protection/>
    </xf>
    <xf numFmtId="182" fontId="27" fillId="0" borderId="0" xfId="112" applyFont="1" applyBorder="1" applyAlignment="1" applyProtection="1">
      <alignment vertical="center"/>
      <protection/>
    </xf>
    <xf numFmtId="1" fontId="25" fillId="0" borderId="0" xfId="112" applyNumberFormat="1" applyFont="1" applyBorder="1" applyAlignment="1" applyProtection="1">
      <alignment horizontal="centerContinuous" vertical="center"/>
      <protection/>
    </xf>
    <xf numFmtId="182" fontId="0" fillId="0" borderId="0" xfId="112" applyFont="1" applyAlignment="1" applyProtection="1">
      <alignment horizontal="right" vertical="center" indent="1"/>
      <protection/>
    </xf>
    <xf numFmtId="0" fontId="50" fillId="4" borderId="0" xfId="112" applyNumberFormat="1" applyFont="1" applyFill="1" applyAlignment="1" applyProtection="1">
      <alignment vertical="center"/>
      <protection/>
    </xf>
    <xf numFmtId="182" fontId="50" fillId="4" borderId="0" xfId="112" applyFont="1" applyFill="1" applyAlignment="1" applyProtection="1">
      <alignment vertical="center"/>
      <protection/>
    </xf>
    <xf numFmtId="182" fontId="32" fillId="0" borderId="0" xfId="112" applyFont="1" applyAlignment="1" applyProtection="1">
      <alignment horizontal="right" vertical="center"/>
      <protection/>
    </xf>
    <xf numFmtId="182" fontId="0" fillId="0" borderId="0" xfId="112" applyFont="1" applyAlignment="1" applyProtection="1">
      <alignment horizontal="left" vertical="center"/>
      <protection/>
    </xf>
    <xf numFmtId="1" fontId="50" fillId="0" borderId="0" xfId="112" applyNumberFormat="1" applyFont="1" applyAlignment="1" applyProtection="1">
      <alignment horizontal="center" vertical="center"/>
      <protection/>
    </xf>
    <xf numFmtId="182" fontId="29" fillId="0" borderId="0" xfId="112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78" fontId="25" fillId="0" borderId="0" xfId="112" applyNumberFormat="1" applyFont="1" applyAlignment="1" applyProtection="1">
      <alignment horizontal="left" vertical="center"/>
      <protection/>
    </xf>
    <xf numFmtId="182" fontId="25" fillId="0" borderId="0" xfId="112" applyFont="1" applyAlignment="1" applyProtection="1">
      <alignment vertical="center"/>
      <protection/>
    </xf>
    <xf numFmtId="182" fontId="21" fillId="0" borderId="0" xfId="112" applyFont="1" applyAlignment="1" applyProtection="1">
      <alignment vertical="center"/>
      <protection/>
    </xf>
    <xf numFmtId="182" fontId="33" fillId="0" borderId="0" xfId="112" applyFont="1" applyBorder="1" applyAlignment="1" applyProtection="1">
      <alignment vertical="center"/>
      <protection/>
    </xf>
    <xf numFmtId="182" fontId="50" fillId="0" borderId="0" xfId="112" applyFont="1" applyAlignment="1" applyProtection="1">
      <alignment vertical="center"/>
      <protection/>
    </xf>
    <xf numFmtId="1" fontId="50" fillId="0" borderId="0" xfId="112" applyNumberFormat="1" applyFont="1" applyAlignment="1" applyProtection="1">
      <alignment vertical="center"/>
      <protection/>
    </xf>
    <xf numFmtId="1" fontId="33" fillId="0" borderId="0" xfId="112" applyNumberFormat="1" applyFont="1" applyAlignment="1" applyProtection="1">
      <alignment vertical="center"/>
      <protection/>
    </xf>
    <xf numFmtId="182" fontId="33" fillId="0" borderId="0" xfId="112" applyNumberFormat="1" applyFont="1" applyAlignment="1" applyProtection="1">
      <alignment vertical="center"/>
      <protection/>
    </xf>
    <xf numFmtId="1" fontId="32" fillId="0" borderId="0" xfId="112" applyNumberFormat="1" applyFont="1" applyAlignment="1" applyProtection="1">
      <alignment vertical="center"/>
      <protection/>
    </xf>
    <xf numFmtId="182" fontId="24" fillId="0" borderId="0" xfId="112" applyFont="1" applyAlignment="1" applyProtection="1">
      <alignment vertical="center"/>
      <protection/>
    </xf>
    <xf numFmtId="182" fontId="33" fillId="0" borderId="0" xfId="112" applyFont="1" applyAlignment="1" applyProtection="1">
      <alignment vertical="center"/>
      <protection/>
    </xf>
    <xf numFmtId="1" fontId="51" fillId="0" borderId="0" xfId="112" applyNumberFormat="1" applyFont="1" applyAlignment="1" applyProtection="1">
      <alignment vertical="center"/>
      <protection/>
    </xf>
    <xf numFmtId="182" fontId="33" fillId="0" borderId="0" xfId="112" applyFont="1" applyProtection="1">
      <alignment/>
      <protection/>
    </xf>
    <xf numFmtId="1" fontId="0" fillId="0" borderId="0" xfId="112" applyNumberFormat="1" applyFont="1" applyBorder="1" applyAlignment="1" applyProtection="1">
      <alignment horizontal="right" vertical="center"/>
      <protection/>
    </xf>
    <xf numFmtId="182" fontId="33" fillId="0" borderId="0" xfId="112" applyFont="1" applyAlignment="1" applyProtection="1">
      <alignment horizontal="right" vertical="center"/>
      <protection/>
    </xf>
    <xf numFmtId="182" fontId="33" fillId="0" borderId="0" xfId="112" applyFont="1" applyAlignment="1" applyProtection="1">
      <alignment horizontal="center" vertical="center"/>
      <protection/>
    </xf>
    <xf numFmtId="1" fontId="0" fillId="0" borderId="0" xfId="112" applyNumberFormat="1" applyFont="1" applyBorder="1" applyAlignment="1" applyProtection="1">
      <alignment vertical="center"/>
      <protection/>
    </xf>
    <xf numFmtId="1" fontId="33" fillId="0" borderId="0" xfId="112" applyNumberFormat="1" applyFont="1" applyAlignment="1" applyProtection="1">
      <alignment horizontal="right" vertical="center"/>
      <protection/>
    </xf>
    <xf numFmtId="182" fontId="33" fillId="0" borderId="0" xfId="112" applyFont="1" applyBorder="1" applyAlignment="1" applyProtection="1">
      <alignment horizontal="center" vertical="center"/>
      <protection/>
    </xf>
    <xf numFmtId="182" fontId="0" fillId="0" borderId="0" xfId="112" applyFont="1" applyFill="1" applyBorder="1" applyAlignment="1" applyProtection="1">
      <alignment vertical="center"/>
      <protection/>
    </xf>
    <xf numFmtId="178" fontId="24" fillId="0" borderId="36" xfId="112" applyNumberFormat="1" applyFont="1" applyBorder="1" applyAlignment="1" applyProtection="1">
      <alignment horizontal="left" vertical="center"/>
      <protection/>
    </xf>
    <xf numFmtId="182" fontId="0" fillId="0" borderId="36" xfId="112" applyFont="1" applyBorder="1" applyAlignment="1" applyProtection="1">
      <alignment vertical="center"/>
      <protection/>
    </xf>
    <xf numFmtId="182" fontId="52" fillId="0" borderId="0" xfId="112" applyFont="1" applyFill="1" applyBorder="1" applyAlignment="1" applyProtection="1">
      <alignment vertical="center"/>
      <protection/>
    </xf>
    <xf numFmtId="182" fontId="50" fillId="0" borderId="0" xfId="112" applyFont="1" applyFill="1" applyBorder="1" applyAlignment="1" applyProtection="1">
      <alignment vertical="center"/>
      <protection/>
    </xf>
    <xf numFmtId="1" fontId="50" fillId="4" borderId="0" xfId="112" applyNumberFormat="1" applyFont="1" applyFill="1" applyBorder="1" applyAlignment="1" applyProtection="1">
      <alignment horizontal="right" vertical="center"/>
      <protection/>
    </xf>
    <xf numFmtId="1" fontId="50" fillId="4" borderId="0" xfId="112" applyNumberFormat="1" applyFont="1" applyFill="1" applyBorder="1" applyAlignment="1" applyProtection="1">
      <alignment vertical="center"/>
      <protection/>
    </xf>
    <xf numFmtId="182" fontId="50" fillId="0" borderId="0" xfId="112" applyFont="1" applyFill="1" applyBorder="1" applyAlignment="1" applyProtection="1">
      <alignment horizontal="center"/>
      <protection/>
    </xf>
    <xf numFmtId="182" fontId="0" fillId="0" borderId="0" xfId="112" applyFont="1" applyFill="1" applyBorder="1" applyAlignment="1" applyProtection="1">
      <alignment horizontal="center"/>
      <protection/>
    </xf>
    <xf numFmtId="1" fontId="0" fillId="0" borderId="0" xfId="112" applyNumberFormat="1" applyFont="1" applyFill="1" applyBorder="1" applyAlignment="1" applyProtection="1">
      <alignment horizontal="center"/>
      <protection/>
    </xf>
    <xf numFmtId="182" fontId="0" fillId="0" borderId="28" xfId="112" applyFont="1" applyFill="1" applyBorder="1" applyAlignment="1" applyProtection="1">
      <alignment vertical="center"/>
      <protection/>
    </xf>
    <xf numFmtId="182" fontId="24" fillId="0" borderId="22" xfId="112" applyFont="1" applyBorder="1" applyAlignment="1" applyProtection="1">
      <alignment vertical="center"/>
      <protection/>
    </xf>
    <xf numFmtId="182" fontId="24" fillId="0" borderId="45" xfId="112" applyFont="1" applyBorder="1" applyAlignment="1" applyProtection="1">
      <alignment vertical="center"/>
      <protection/>
    </xf>
    <xf numFmtId="182" fontId="24" fillId="0" borderId="46" xfId="112" applyFont="1" applyBorder="1" applyAlignment="1" applyProtection="1">
      <alignment vertical="center"/>
      <protection/>
    </xf>
    <xf numFmtId="182" fontId="24" fillId="0" borderId="0" xfId="112" applyFont="1" applyBorder="1" applyAlignment="1" applyProtection="1">
      <alignment vertical="center"/>
      <protection/>
    </xf>
    <xf numFmtId="178" fontId="24" fillId="0" borderId="21" xfId="112" applyNumberFormat="1" applyFont="1" applyBorder="1" applyAlignment="1" applyProtection="1">
      <alignment horizontal="left" vertical="center"/>
      <protection/>
    </xf>
    <xf numFmtId="178" fontId="24" fillId="0" borderId="47" xfId="112" applyNumberFormat="1" applyFont="1" applyBorder="1" applyAlignment="1" applyProtection="1">
      <alignment horizontal="centerContinuous" vertical="center"/>
      <protection/>
    </xf>
    <xf numFmtId="182" fontId="28" fillId="0" borderId="48" xfId="112" applyFont="1" applyBorder="1" applyAlignment="1" applyProtection="1">
      <alignment horizontal="centerContinuous" vertical="center"/>
      <protection/>
    </xf>
    <xf numFmtId="182" fontId="0" fillId="0" borderId="48" xfId="112" applyFont="1" applyBorder="1" applyAlignment="1" applyProtection="1">
      <alignment horizontal="centerContinuous" vertical="center"/>
      <protection/>
    </xf>
    <xf numFmtId="182" fontId="34" fillId="0" borderId="0" xfId="112" applyFont="1" applyProtection="1">
      <alignment/>
      <protection/>
    </xf>
    <xf numFmtId="182" fontId="0" fillId="0" borderId="0" xfId="112" applyFont="1" applyAlignment="1" applyProtection="1">
      <alignment horizontal="center"/>
      <protection/>
    </xf>
    <xf numFmtId="178" fontId="24" fillId="0" borderId="28" xfId="112" applyNumberFormat="1" applyFont="1" applyFill="1" applyBorder="1" applyAlignment="1" applyProtection="1">
      <alignment horizontal="left" vertical="center"/>
      <protection/>
    </xf>
    <xf numFmtId="182" fontId="0" fillId="0" borderId="49" xfId="112" applyFont="1" applyBorder="1" applyAlignment="1" applyProtection="1">
      <alignment vertical="center"/>
      <protection/>
    </xf>
    <xf numFmtId="178" fontId="24" fillId="0" borderId="0" xfId="112" applyNumberFormat="1" applyFont="1" applyBorder="1" applyAlignment="1" applyProtection="1">
      <alignment horizontal="left" vertical="center"/>
      <protection/>
    </xf>
    <xf numFmtId="182" fontId="24" fillId="0" borderId="20" xfId="112" applyFont="1" applyBorder="1" applyAlignment="1" applyProtection="1">
      <alignment vertical="center"/>
      <protection/>
    </xf>
    <xf numFmtId="182" fontId="24" fillId="0" borderId="49" xfId="112" applyFont="1" applyBorder="1" applyAlignment="1" applyProtection="1">
      <alignment horizontal="centerContinuous" vertical="center"/>
      <protection/>
    </xf>
    <xf numFmtId="178" fontId="24" fillId="0" borderId="23" xfId="112" applyNumberFormat="1" applyFont="1" applyBorder="1" applyAlignment="1" applyProtection="1">
      <alignment horizontal="centerContinuous" vertical="center"/>
      <protection/>
    </xf>
    <xf numFmtId="178" fontId="24" fillId="0" borderId="23" xfId="112" applyNumberFormat="1" applyFont="1" applyBorder="1" applyAlignment="1" applyProtection="1">
      <alignment horizontal="center" vertical="center"/>
      <protection/>
    </xf>
    <xf numFmtId="178" fontId="34" fillId="0" borderId="50" xfId="112" applyNumberFormat="1" applyFont="1" applyBorder="1" applyAlignment="1" applyProtection="1">
      <alignment horizontal="centerContinuous" vertical="center"/>
      <protection/>
    </xf>
    <xf numFmtId="182" fontId="41" fillId="0" borderId="51" xfId="112" applyFont="1" applyBorder="1" applyAlignment="1" applyProtection="1">
      <alignment horizontal="centerContinuous" vertical="center"/>
      <protection/>
    </xf>
    <xf numFmtId="178" fontId="24" fillId="0" borderId="50" xfId="112" applyNumberFormat="1" applyFont="1" applyBorder="1" applyAlignment="1" applyProtection="1">
      <alignment horizontal="centerContinuous" vertical="center"/>
      <protection/>
    </xf>
    <xf numFmtId="182" fontId="0" fillId="0" borderId="51" xfId="112" applyFont="1" applyBorder="1" applyAlignment="1" applyProtection="1">
      <alignment horizontal="centerContinuous" vertical="center"/>
      <protection/>
    </xf>
    <xf numFmtId="182" fontId="0" fillId="0" borderId="50" xfId="112" applyFont="1" applyBorder="1" applyAlignment="1" applyProtection="1">
      <alignment vertical="center"/>
      <protection/>
    </xf>
    <xf numFmtId="182" fontId="0" fillId="0" borderId="51" xfId="112" applyFont="1" applyBorder="1" applyAlignment="1" applyProtection="1">
      <alignment vertical="center"/>
      <protection/>
    </xf>
    <xf numFmtId="182" fontId="0" fillId="0" borderId="0" xfId="112" applyFont="1" applyFill="1" applyBorder="1" applyAlignment="1" applyProtection="1">
      <alignment horizontal="center" vertical="center"/>
      <protection/>
    </xf>
    <xf numFmtId="182" fontId="24" fillId="0" borderId="0" xfId="112" applyFont="1" applyFill="1" applyBorder="1" applyAlignment="1" applyProtection="1">
      <alignment vertical="center"/>
      <protection/>
    </xf>
    <xf numFmtId="182" fontId="33" fillId="0" borderId="0" xfId="112" applyFont="1" applyAlignment="1" applyProtection="1">
      <alignment horizontal="left"/>
      <protection/>
    </xf>
    <xf numFmtId="182" fontId="24" fillId="0" borderId="49" xfId="112" applyFont="1" applyBorder="1" applyAlignment="1" applyProtection="1">
      <alignment vertical="center"/>
      <protection/>
    </xf>
    <xf numFmtId="178" fontId="24" fillId="0" borderId="52" xfId="112" applyNumberFormat="1" applyFont="1" applyBorder="1" applyAlignment="1" applyProtection="1">
      <alignment horizontal="centerContinuous" vertical="center"/>
      <protection/>
    </xf>
    <xf numFmtId="178" fontId="24" fillId="0" borderId="33" xfId="112" applyNumberFormat="1" applyFont="1" applyBorder="1" applyAlignment="1" applyProtection="1">
      <alignment horizontal="center" vertical="center"/>
      <protection/>
    </xf>
    <xf numFmtId="178" fontId="24" fillId="0" borderId="0" xfId="112" applyNumberFormat="1" applyFont="1" applyFill="1" applyBorder="1" applyAlignment="1" applyProtection="1">
      <alignment horizontal="center" vertical="center"/>
      <protection/>
    </xf>
    <xf numFmtId="182" fontId="50" fillId="0" borderId="0" xfId="112" applyFont="1" applyFill="1" applyBorder="1" applyAlignment="1" applyProtection="1">
      <alignment horizontal="center" vertical="center"/>
      <protection/>
    </xf>
    <xf numFmtId="1" fontId="24" fillId="0" borderId="0" xfId="112" applyNumberFormat="1" applyFont="1" applyFill="1" applyBorder="1" applyAlignment="1" applyProtection="1">
      <alignment horizontal="center" vertical="center"/>
      <protection/>
    </xf>
    <xf numFmtId="1" fontId="0" fillId="0" borderId="0" xfId="112" applyNumberFormat="1" applyFont="1" applyFill="1" applyBorder="1" applyAlignment="1" applyProtection="1">
      <alignment vertical="center"/>
      <protection/>
    </xf>
    <xf numFmtId="182" fontId="24" fillId="0" borderId="26" xfId="112" applyFont="1" applyBorder="1" applyAlignment="1" applyProtection="1">
      <alignment vertical="center"/>
      <protection/>
    </xf>
    <xf numFmtId="182" fontId="24" fillId="0" borderId="19" xfId="112" applyFont="1" applyBorder="1" applyAlignment="1" applyProtection="1">
      <alignment vertical="center"/>
      <protection/>
    </xf>
    <xf numFmtId="182" fontId="24" fillId="0" borderId="53" xfId="112" applyFont="1" applyBorder="1" applyAlignment="1" applyProtection="1">
      <alignment vertical="center"/>
      <protection/>
    </xf>
    <xf numFmtId="182" fontId="24" fillId="0" borderId="51" xfId="112" applyFont="1" applyBorder="1" applyAlignment="1" applyProtection="1">
      <alignment vertical="center"/>
      <protection/>
    </xf>
    <xf numFmtId="182" fontId="24" fillId="0" borderId="25" xfId="112" applyFont="1" applyBorder="1" applyAlignment="1" applyProtection="1">
      <alignment horizontal="center" vertical="center"/>
      <protection/>
    </xf>
    <xf numFmtId="178" fontId="24" fillId="0" borderId="25" xfId="112" applyNumberFormat="1" applyFont="1" applyBorder="1" applyAlignment="1" applyProtection="1">
      <alignment horizontal="center" vertical="center"/>
      <protection/>
    </xf>
    <xf numFmtId="178" fontId="24" fillId="0" borderId="44" xfId="112" applyNumberFormat="1" applyFont="1" applyBorder="1" applyAlignment="1" applyProtection="1">
      <alignment horizontal="center" vertical="center"/>
      <protection/>
    </xf>
    <xf numFmtId="1" fontId="52" fillId="0" borderId="0" xfId="112" applyNumberFormat="1" applyFont="1" applyFill="1" applyBorder="1" applyAlignment="1" applyProtection="1">
      <alignment vertical="center"/>
      <protection/>
    </xf>
    <xf numFmtId="1" fontId="52" fillId="0" borderId="0" xfId="112" applyNumberFormat="1" applyFont="1" applyFill="1" applyBorder="1" applyAlignment="1" applyProtection="1">
      <alignment horizontal="center" vertical="center"/>
      <protection/>
    </xf>
    <xf numFmtId="182" fontId="24" fillId="0" borderId="0" xfId="112" applyNumberFormat="1" applyFont="1" applyFill="1" applyBorder="1" applyAlignment="1" applyProtection="1">
      <alignment horizontal="right" vertical="center"/>
      <protection/>
    </xf>
    <xf numFmtId="182" fontId="24" fillId="0" borderId="54" xfId="112" applyFont="1" applyBorder="1" applyAlignment="1" applyProtection="1">
      <alignment vertical="center"/>
      <protection/>
    </xf>
    <xf numFmtId="182" fontId="24" fillId="0" borderId="38" xfId="112" applyFont="1" applyBorder="1" applyAlignment="1" applyProtection="1">
      <alignment vertical="center"/>
      <protection/>
    </xf>
    <xf numFmtId="182" fontId="24" fillId="0" borderId="38" xfId="112" applyFont="1" applyBorder="1" applyAlignment="1" applyProtection="1">
      <alignment horizontal="center" vertical="center"/>
      <protection/>
    </xf>
    <xf numFmtId="178" fontId="24" fillId="0" borderId="38" xfId="112" applyNumberFormat="1" applyFont="1" applyBorder="1" applyAlignment="1" applyProtection="1">
      <alignment horizontal="center" vertical="center"/>
      <protection/>
    </xf>
    <xf numFmtId="178" fontId="0" fillId="0" borderId="28" xfId="112" applyNumberFormat="1" applyFont="1" applyFill="1" applyBorder="1" applyAlignment="1" applyProtection="1">
      <alignment horizontal="left" vertical="center"/>
      <protection/>
    </xf>
    <xf numFmtId="182" fontId="0" fillId="0" borderId="55" xfId="112" applyFont="1" applyBorder="1" applyAlignment="1" applyProtection="1">
      <alignment vertical="center"/>
      <protection/>
    </xf>
    <xf numFmtId="178" fontId="0" fillId="0" borderId="56" xfId="112" applyNumberFormat="1" applyFont="1" applyBorder="1" applyAlignment="1" applyProtection="1">
      <alignment horizontal="left" vertical="center"/>
      <protection/>
    </xf>
    <xf numFmtId="3" fontId="0" fillId="5" borderId="57" xfId="112" applyNumberFormat="1" applyFont="1" applyFill="1" applyBorder="1" applyAlignment="1" applyProtection="1">
      <alignment vertical="center"/>
      <protection locked="0"/>
    </xf>
    <xf numFmtId="186" fontId="50" fillId="0" borderId="0" xfId="112" applyNumberFormat="1" applyFont="1" applyFill="1" applyBorder="1" applyAlignment="1" applyProtection="1">
      <alignment vertical="center"/>
      <protection/>
    </xf>
    <xf numFmtId="179" fontId="0" fillId="0" borderId="0" xfId="112" applyNumberFormat="1" applyFont="1" applyFill="1" applyBorder="1" applyAlignment="1" applyProtection="1">
      <alignment horizontal="right" vertical="center"/>
      <protection/>
    </xf>
    <xf numFmtId="1" fontId="32" fillId="0" borderId="0" xfId="112" applyNumberFormat="1" applyFont="1" applyAlignment="1" applyProtection="1">
      <alignment vertical="center"/>
      <protection/>
    </xf>
    <xf numFmtId="182" fontId="0" fillId="0" borderId="58" xfId="112" applyFont="1" applyFill="1" applyBorder="1" applyAlignment="1" applyProtection="1">
      <alignment vertical="center"/>
      <protection/>
    </xf>
    <xf numFmtId="182" fontId="0" fillId="0" borderId="59" xfId="112" applyFont="1" applyFill="1" applyBorder="1" applyAlignment="1" applyProtection="1">
      <alignment vertical="center"/>
      <protection/>
    </xf>
    <xf numFmtId="3" fontId="0" fillId="5" borderId="60" xfId="112" applyNumberFormat="1" applyFont="1" applyFill="1" applyBorder="1" applyAlignment="1" applyProtection="1">
      <alignment vertical="center"/>
      <protection locked="0"/>
    </xf>
    <xf numFmtId="182" fontId="0" fillId="0" borderId="60" xfId="112" applyFont="1" applyFill="1" applyBorder="1" applyAlignment="1" applyProtection="1">
      <alignment vertical="center"/>
      <protection/>
    </xf>
    <xf numFmtId="178" fontId="0" fillId="0" borderId="58" xfId="112" applyNumberFormat="1" applyFont="1" applyFill="1" applyBorder="1" applyAlignment="1" applyProtection="1">
      <alignment vertical="center"/>
      <protection/>
    </xf>
    <xf numFmtId="182" fontId="50" fillId="0" borderId="0" xfId="112" applyNumberFormat="1" applyFont="1" applyFill="1" applyBorder="1" applyAlignment="1" applyProtection="1">
      <alignment vertical="center"/>
      <protection/>
    </xf>
    <xf numFmtId="182" fontId="50" fillId="0" borderId="0" xfId="112" applyFont="1" applyBorder="1" applyAlignment="1" applyProtection="1">
      <alignment vertical="center"/>
      <protection/>
    </xf>
    <xf numFmtId="182" fontId="50" fillId="0" borderId="0" xfId="112" applyFont="1" applyFill="1" applyAlignment="1" applyProtection="1">
      <alignment vertical="center"/>
      <protection/>
    </xf>
    <xf numFmtId="0" fontId="0" fillId="0" borderId="28" xfId="112" applyNumberFormat="1" applyFont="1" applyFill="1" applyBorder="1" applyAlignment="1" applyProtection="1">
      <alignment vertical="center"/>
      <protection/>
    </xf>
    <xf numFmtId="178" fontId="24" fillId="0" borderId="54" xfId="112" applyNumberFormat="1" applyFont="1" applyFill="1" applyBorder="1" applyAlignment="1" applyProtection="1">
      <alignment vertical="center"/>
      <protection/>
    </xf>
    <xf numFmtId="0" fontId="24" fillId="0" borderId="38" xfId="112" applyNumberFormat="1" applyFont="1" applyFill="1" applyBorder="1" applyAlignment="1" applyProtection="1">
      <alignment vertical="center"/>
      <protection/>
    </xf>
    <xf numFmtId="182" fontId="24" fillId="0" borderId="38" xfId="112" applyNumberFormat="1" applyFont="1" applyFill="1" applyBorder="1" applyAlignment="1" applyProtection="1">
      <alignment horizontal="center" vertical="center"/>
      <protection/>
    </xf>
    <xf numFmtId="186" fontId="24" fillId="0" borderId="38" xfId="112" applyNumberFormat="1" applyFont="1" applyFill="1" applyBorder="1" applyAlignment="1" applyProtection="1">
      <alignment vertical="center"/>
      <protection/>
    </xf>
    <xf numFmtId="186" fontId="0" fillId="0" borderId="0" xfId="112" applyNumberFormat="1" applyFont="1" applyFill="1" applyBorder="1" applyAlignment="1" applyProtection="1">
      <alignment vertical="center"/>
      <protection/>
    </xf>
    <xf numFmtId="0" fontId="0" fillId="0" borderId="61" xfId="112" applyNumberFormat="1" applyFont="1" applyFill="1" applyBorder="1" applyAlignment="1" applyProtection="1">
      <alignment vertical="center"/>
      <protection/>
    </xf>
    <xf numFmtId="0" fontId="0" fillId="0" borderId="62" xfId="112" applyNumberFormat="1" applyFont="1" applyFill="1" applyBorder="1" applyAlignment="1" applyProtection="1">
      <alignment vertical="center"/>
      <protection/>
    </xf>
    <xf numFmtId="0" fontId="0" fillId="0" borderId="63" xfId="112" applyNumberFormat="1" applyFont="1" applyFill="1" applyBorder="1" applyAlignment="1" applyProtection="1">
      <alignment vertical="center"/>
      <protection/>
    </xf>
    <xf numFmtId="182" fontId="0" fillId="11" borderId="33" xfId="112" applyFont="1" applyFill="1" applyBorder="1" applyAlignment="1" applyProtection="1">
      <alignment vertical="center"/>
      <protection/>
    </xf>
    <xf numFmtId="182" fontId="50" fillId="0" borderId="0" xfId="112" applyNumberFormat="1" applyFont="1" applyFill="1" applyBorder="1" applyAlignment="1" applyProtection="1">
      <alignment vertical="center"/>
      <protection/>
    </xf>
    <xf numFmtId="182" fontId="0" fillId="11" borderId="43" xfId="112" applyFont="1" applyFill="1" applyBorder="1" applyAlignment="1" applyProtection="1">
      <alignment vertical="center"/>
      <protection/>
    </xf>
    <xf numFmtId="0" fontId="0" fillId="0" borderId="59" xfId="112" applyNumberFormat="1" applyFont="1" applyFill="1" applyBorder="1" applyAlignment="1" applyProtection="1">
      <alignment vertical="center"/>
      <protection/>
    </xf>
    <xf numFmtId="0" fontId="0" fillId="0" borderId="60" xfId="112" applyNumberFormat="1" applyFont="1" applyFill="1" applyBorder="1" applyAlignment="1" applyProtection="1">
      <alignment vertical="center"/>
      <protection/>
    </xf>
    <xf numFmtId="182" fontId="33" fillId="0" borderId="0" xfId="112" applyNumberFormat="1" applyFont="1" applyBorder="1" applyAlignment="1" applyProtection="1">
      <alignment vertical="center"/>
      <protection/>
    </xf>
    <xf numFmtId="182" fontId="0" fillId="0" borderId="0" xfId="112" applyNumberFormat="1" applyFont="1" applyFill="1" applyBorder="1" applyAlignment="1" applyProtection="1">
      <alignment vertical="center"/>
      <protection/>
    </xf>
    <xf numFmtId="182" fontId="0" fillId="11" borderId="44" xfId="112" applyFont="1" applyFill="1" applyBorder="1" applyAlignment="1" applyProtection="1">
      <alignment vertical="center"/>
      <protection/>
    </xf>
    <xf numFmtId="178" fontId="0" fillId="0" borderId="0" xfId="112" applyNumberFormat="1" applyFont="1" applyBorder="1" applyAlignment="1" applyProtection="1">
      <alignment horizontal="left" vertical="center"/>
      <protection/>
    </xf>
    <xf numFmtId="179" fontId="0" fillId="0" borderId="0" xfId="112" applyNumberFormat="1" applyFont="1" applyBorder="1" applyAlignment="1" applyProtection="1">
      <alignment vertical="center"/>
      <protection/>
    </xf>
    <xf numFmtId="181" fontId="0" fillId="0" borderId="0" xfId="112" applyNumberFormat="1" applyFont="1" applyBorder="1" applyAlignment="1" applyProtection="1">
      <alignment vertical="center"/>
      <protection/>
    </xf>
    <xf numFmtId="181" fontId="0" fillId="0" borderId="0" xfId="112" applyNumberFormat="1" applyFont="1" applyBorder="1" applyAlignment="1" applyProtection="1">
      <alignment horizontal="right" vertical="center"/>
      <protection/>
    </xf>
    <xf numFmtId="198" fontId="0" fillId="0" borderId="25" xfId="112" applyNumberFormat="1" applyFont="1" applyBorder="1" applyAlignment="1" applyProtection="1">
      <alignment horizontal="right" vertical="center"/>
      <protection/>
    </xf>
    <xf numFmtId="198" fontId="0" fillId="0" borderId="17" xfId="112" applyNumberFormat="1" applyFont="1" applyBorder="1" applyAlignment="1" applyProtection="1">
      <alignment horizontal="right" vertical="center"/>
      <protection/>
    </xf>
    <xf numFmtId="181" fontId="0" fillId="0" borderId="0" xfId="112" applyNumberFormat="1" applyFont="1" applyBorder="1" applyAlignment="1" applyProtection="1">
      <alignment horizontal="left" vertical="center"/>
      <protection/>
    </xf>
    <xf numFmtId="182" fontId="26" fillId="0" borderId="0" xfId="112" applyNumberFormat="1" applyFont="1" applyAlignment="1" applyProtection="1">
      <alignment vertical="center"/>
      <protection/>
    </xf>
    <xf numFmtId="1" fontId="26" fillId="0" borderId="0" xfId="112" applyNumberFormat="1" applyFont="1" applyAlignment="1" applyProtection="1">
      <alignment vertical="center"/>
      <protection/>
    </xf>
    <xf numFmtId="182" fontId="35" fillId="0" borderId="0" xfId="112" applyFont="1" applyAlignment="1" applyProtection="1">
      <alignment vertical="center"/>
      <protection/>
    </xf>
    <xf numFmtId="182" fontId="0" fillId="0" borderId="0" xfId="112" applyFont="1" applyAlignment="1" applyProtection="1" quotePrefix="1">
      <alignment vertical="center"/>
      <protection/>
    </xf>
    <xf numFmtId="182" fontId="0" fillId="0" borderId="0" xfId="112" applyFont="1" applyAlignment="1" applyProtection="1" quotePrefix="1">
      <alignment horizontal="right" vertical="center"/>
      <protection/>
    </xf>
    <xf numFmtId="182" fontId="29" fillId="0" borderId="0" xfId="112" applyFont="1" applyAlignment="1" applyProtection="1">
      <alignment horizontal="right" vertical="center"/>
      <protection/>
    </xf>
    <xf numFmtId="182" fontId="49" fillId="0" borderId="0" xfId="112" applyFont="1" applyAlignment="1" applyProtection="1">
      <alignment vertical="center"/>
      <protection/>
    </xf>
    <xf numFmtId="182" fontId="49" fillId="0" borderId="0" xfId="112" applyFont="1" applyAlignment="1" applyProtection="1">
      <alignment horizontal="right" vertical="center"/>
      <protection/>
    </xf>
    <xf numFmtId="2" fontId="50" fillId="0" borderId="0" xfId="112" applyNumberFormat="1" applyFont="1" applyFill="1" applyBorder="1" applyAlignment="1" applyProtection="1">
      <alignment vertical="center"/>
      <protection/>
    </xf>
    <xf numFmtId="178" fontId="24" fillId="0" borderId="22" xfId="112" applyNumberFormat="1" applyFont="1" applyBorder="1" applyAlignment="1" applyProtection="1">
      <alignment horizontal="left" vertical="center"/>
      <protection/>
    </xf>
    <xf numFmtId="178" fontId="24" fillId="0" borderId="45" xfId="112" applyNumberFormat="1" applyFont="1" applyBorder="1" applyAlignment="1" applyProtection="1">
      <alignment horizontal="left" vertical="center"/>
      <protection/>
    </xf>
    <xf numFmtId="182" fontId="0" fillId="0" borderId="45" xfId="112" applyFont="1" applyBorder="1" applyAlignment="1" applyProtection="1">
      <alignment vertical="center"/>
      <protection/>
    </xf>
    <xf numFmtId="182" fontId="24" fillId="0" borderId="21" xfId="112" applyFont="1" applyBorder="1" applyAlignment="1" applyProtection="1">
      <alignment vertical="center"/>
      <protection/>
    </xf>
    <xf numFmtId="182" fontId="24" fillId="0" borderId="46" xfId="112" applyFont="1" applyBorder="1" applyAlignment="1" applyProtection="1">
      <alignment horizontal="center" vertical="center"/>
      <protection/>
    </xf>
    <xf numFmtId="2" fontId="26" fillId="0" borderId="0" xfId="112" applyNumberFormat="1" applyFont="1" applyAlignment="1" applyProtection="1">
      <alignment vertical="center"/>
      <protection/>
    </xf>
    <xf numFmtId="178" fontId="24" fillId="0" borderId="26" xfId="112" applyNumberFormat="1" applyFont="1" applyBorder="1" applyAlignment="1" applyProtection="1">
      <alignment horizontal="left" vertical="center"/>
      <protection/>
    </xf>
    <xf numFmtId="178" fontId="24" fillId="0" borderId="19" xfId="112" applyNumberFormat="1" applyFont="1" applyBorder="1" applyAlignment="1" applyProtection="1">
      <alignment horizontal="left" vertical="center"/>
      <protection/>
    </xf>
    <xf numFmtId="182" fontId="0" fillId="0" borderId="19" xfId="112" applyFont="1" applyBorder="1" applyAlignment="1" applyProtection="1">
      <alignment vertical="center"/>
      <protection/>
    </xf>
    <xf numFmtId="182" fontId="24" fillId="0" borderId="25" xfId="112" applyFont="1" applyBorder="1" applyAlignment="1" applyProtection="1">
      <alignment vertical="center"/>
      <protection/>
    </xf>
    <xf numFmtId="178" fontId="0" fillId="0" borderId="64" xfId="112" applyNumberFormat="1" applyFont="1" applyBorder="1" applyAlignment="1" applyProtection="1">
      <alignment horizontal="left" vertical="center"/>
      <protection/>
    </xf>
    <xf numFmtId="178" fontId="0" fillId="0" borderId="65" xfId="112" applyNumberFormat="1" applyFont="1" applyBorder="1" applyAlignment="1" applyProtection="1">
      <alignment horizontal="left" vertical="center"/>
      <protection/>
    </xf>
    <xf numFmtId="178" fontId="0" fillId="0" borderId="42" xfId="112" applyNumberFormat="1" applyFont="1" applyBorder="1" applyAlignment="1" applyProtection="1">
      <alignment horizontal="left" vertical="center"/>
      <protection/>
    </xf>
    <xf numFmtId="178" fontId="0" fillId="0" borderId="58" xfId="112" applyNumberFormat="1" applyFont="1" applyBorder="1" applyAlignment="1" applyProtection="1">
      <alignment horizontal="left" vertical="center"/>
      <protection/>
    </xf>
    <xf numFmtId="178" fontId="0" fillId="0" borderId="59" xfId="112" applyNumberFormat="1" applyFont="1" applyBorder="1" applyAlignment="1" applyProtection="1">
      <alignment horizontal="left" vertical="center"/>
      <protection/>
    </xf>
    <xf numFmtId="178" fontId="0" fillId="0" borderId="40" xfId="112" applyNumberFormat="1" applyFont="1" applyBorder="1" applyAlignment="1" applyProtection="1">
      <alignment horizontal="left" vertical="center"/>
      <protection/>
    </xf>
    <xf numFmtId="2" fontId="0" fillId="11" borderId="27" xfId="112" applyNumberFormat="1" applyFont="1" applyFill="1" applyBorder="1" applyAlignment="1" applyProtection="1">
      <alignment horizontal="right" vertical="center" indent="1"/>
      <protection/>
    </xf>
    <xf numFmtId="182" fontId="0" fillId="11" borderId="31" xfId="112" applyFont="1" applyFill="1" applyBorder="1" applyAlignment="1" applyProtection="1">
      <alignment vertical="center"/>
      <protection/>
    </xf>
    <xf numFmtId="182" fontId="24" fillId="0" borderId="0" xfId="112" applyFont="1" applyAlignment="1" applyProtection="1">
      <alignment horizontal="left" vertical="center"/>
      <protection/>
    </xf>
    <xf numFmtId="178" fontId="0" fillId="0" borderId="61" xfId="112" applyNumberFormat="1" applyFont="1" applyBorder="1" applyAlignment="1" applyProtection="1">
      <alignment horizontal="left" vertical="center"/>
      <protection/>
    </xf>
    <xf numFmtId="178" fontId="0" fillId="0" borderId="62" xfId="112" applyNumberFormat="1" applyFont="1" applyBorder="1" applyAlignment="1" applyProtection="1">
      <alignment horizontal="left" vertical="center"/>
      <protection/>
    </xf>
    <xf numFmtId="178" fontId="0" fillId="0" borderId="41" xfId="112" applyNumberFormat="1" applyFont="1" applyBorder="1" applyAlignment="1" applyProtection="1">
      <alignment horizontal="left" vertical="center"/>
      <protection/>
    </xf>
    <xf numFmtId="2" fontId="0" fillId="11" borderId="44" xfId="112" applyNumberFormat="1" applyFont="1" applyFill="1" applyBorder="1" applyAlignment="1" applyProtection="1">
      <alignment horizontal="right" vertical="center" indent="1"/>
      <protection/>
    </xf>
    <xf numFmtId="182" fontId="0" fillId="11" borderId="66" xfId="112" applyFont="1" applyFill="1" applyBorder="1" applyAlignment="1" applyProtection="1">
      <alignment vertical="center"/>
      <protection/>
    </xf>
    <xf numFmtId="182" fontId="50" fillId="0" borderId="0" xfId="112" applyFont="1" applyAlignment="1" applyProtection="1">
      <alignment horizontal="right" vertical="center"/>
      <protection/>
    </xf>
    <xf numFmtId="182" fontId="0" fillId="0" borderId="0" xfId="112" applyFont="1" applyAlignment="1" applyProtection="1">
      <alignment horizontal="right" vertical="center"/>
      <protection/>
    </xf>
    <xf numFmtId="182" fontId="46" fillId="0" borderId="0" xfId="112" applyFont="1" applyAlignment="1" applyProtection="1">
      <alignment vertical="center"/>
      <protection/>
    </xf>
    <xf numFmtId="182" fontId="0" fillId="0" borderId="0" xfId="112" applyFont="1" applyAlignment="1" applyProtection="1">
      <alignment horizontal="center" vertical="center"/>
      <protection/>
    </xf>
    <xf numFmtId="182" fontId="0" fillId="0" borderId="0" xfId="112" applyFont="1" applyAlignment="1" applyProtection="1">
      <alignment horizontal="right" vertical="center"/>
      <protection/>
    </xf>
    <xf numFmtId="178" fontId="24" fillId="0" borderId="0" xfId="112" applyNumberFormat="1" applyFont="1" applyAlignment="1" applyProtection="1">
      <alignment horizontal="left" vertical="center"/>
      <protection/>
    </xf>
    <xf numFmtId="182" fontId="29" fillId="0" borderId="0" xfId="112" applyFont="1" applyAlignment="1" applyProtection="1">
      <alignment horizontal="right" vertical="center"/>
      <protection/>
    </xf>
    <xf numFmtId="182" fontId="24" fillId="0" borderId="0" xfId="112" applyFont="1" applyAlignment="1" applyProtection="1">
      <alignment horizontal="right" vertical="center"/>
      <protection/>
    </xf>
    <xf numFmtId="182" fontId="55" fillId="0" borderId="0" xfId="112" applyFont="1" applyAlignment="1" applyProtection="1">
      <alignment vertical="center"/>
      <protection/>
    </xf>
    <xf numFmtId="180" fontId="0" fillId="0" borderId="0" xfId="112" applyNumberFormat="1" applyFont="1" applyBorder="1" applyAlignment="1" applyProtection="1">
      <alignment vertical="center"/>
      <protection/>
    </xf>
    <xf numFmtId="198" fontId="0" fillId="0" borderId="17" xfId="112" applyNumberFormat="1" applyFont="1" applyBorder="1" applyAlignment="1" applyProtection="1">
      <alignment vertical="center"/>
      <protection/>
    </xf>
    <xf numFmtId="178" fontId="25" fillId="0" borderId="0" xfId="112" applyNumberFormat="1" applyFont="1" applyBorder="1" applyAlignment="1" applyProtection="1">
      <alignment horizontal="left" vertical="center"/>
      <protection/>
    </xf>
    <xf numFmtId="179" fontId="24" fillId="0" borderId="0" xfId="112" applyNumberFormat="1" applyFont="1" applyBorder="1" applyAlignment="1" applyProtection="1">
      <alignment vertical="center"/>
      <protection/>
    </xf>
    <xf numFmtId="178" fontId="24" fillId="0" borderId="67" xfId="112" applyNumberFormat="1" applyFont="1" applyBorder="1" applyAlignment="1" applyProtection="1">
      <alignment horizontal="left" vertical="center"/>
      <protection/>
    </xf>
    <xf numFmtId="178" fontId="0" fillId="0" borderId="68" xfId="112" applyNumberFormat="1" applyFont="1" applyBorder="1" applyAlignment="1" applyProtection="1">
      <alignment horizontal="left" vertical="center"/>
      <protection/>
    </xf>
    <xf numFmtId="182" fontId="0" fillId="0" borderId="68" xfId="112" applyFont="1" applyBorder="1" applyAlignment="1" applyProtection="1">
      <alignment vertical="center"/>
      <protection/>
    </xf>
    <xf numFmtId="179" fontId="0" fillId="0" borderId="68" xfId="112" applyNumberFormat="1" applyFont="1" applyBorder="1" applyAlignment="1" applyProtection="1">
      <alignment vertical="center"/>
      <protection/>
    </xf>
    <xf numFmtId="181" fontId="0" fillId="0" borderId="68" xfId="112" applyNumberFormat="1" applyFont="1" applyBorder="1" applyAlignment="1" applyProtection="1">
      <alignment vertical="center"/>
      <protection/>
    </xf>
    <xf numFmtId="181" fontId="0" fillId="0" borderId="69" xfId="112" applyNumberFormat="1" applyFont="1" applyBorder="1" applyAlignment="1" applyProtection="1">
      <alignment horizontal="left" vertical="center"/>
      <protection/>
    </xf>
    <xf numFmtId="178" fontId="0" fillId="0" borderId="22" xfId="112" applyNumberFormat="1" applyFont="1" applyBorder="1" applyAlignment="1" applyProtection="1">
      <alignment horizontal="left" vertical="center"/>
      <protection/>
    </xf>
    <xf numFmtId="178" fontId="0" fillId="0" borderId="45" xfId="112" applyNumberFormat="1" applyFont="1" applyBorder="1" applyAlignment="1" applyProtection="1">
      <alignment horizontal="left" vertical="center"/>
      <protection/>
    </xf>
    <xf numFmtId="179" fontId="0" fillId="0" borderId="45" xfId="112" applyNumberFormat="1" applyFont="1" applyBorder="1" applyAlignment="1" applyProtection="1">
      <alignment vertical="center"/>
      <protection/>
    </xf>
    <xf numFmtId="181" fontId="0" fillId="0" borderId="45" xfId="112" applyNumberFormat="1" applyFont="1" applyBorder="1" applyAlignment="1" applyProtection="1">
      <alignment vertical="center"/>
      <protection/>
    </xf>
    <xf numFmtId="181" fontId="0" fillId="0" borderId="46" xfId="112" applyNumberFormat="1" applyFont="1" applyBorder="1" applyAlignment="1" applyProtection="1">
      <alignment horizontal="left" vertical="center"/>
      <protection/>
    </xf>
    <xf numFmtId="179" fontId="0" fillId="0" borderId="70" xfId="112" applyNumberFormat="1" applyFont="1" applyBorder="1" applyAlignment="1" applyProtection="1">
      <alignment vertical="center"/>
      <protection/>
    </xf>
    <xf numFmtId="182" fontId="0" fillId="0" borderId="21" xfId="112" applyFont="1" applyBorder="1" applyAlignment="1" applyProtection="1">
      <alignment horizontal="center" vertical="center"/>
      <protection/>
    </xf>
    <xf numFmtId="179" fontId="0" fillId="0" borderId="21" xfId="112" applyNumberFormat="1" applyFont="1" applyBorder="1" applyAlignment="1" applyProtection="1">
      <alignment horizontal="center" vertical="center"/>
      <protection/>
    </xf>
    <xf numFmtId="181" fontId="0" fillId="0" borderId="21" xfId="112" applyNumberFormat="1" applyFont="1" applyBorder="1" applyAlignment="1" applyProtection="1">
      <alignment horizontal="center" vertical="center"/>
      <protection/>
    </xf>
    <xf numFmtId="181" fontId="0" fillId="0" borderId="21" xfId="112" applyNumberFormat="1" applyFont="1" applyBorder="1" applyAlignment="1" applyProtection="1">
      <alignment horizontal="left" vertical="center"/>
      <protection/>
    </xf>
    <xf numFmtId="179" fontId="0" fillId="0" borderId="20" xfId="112" applyNumberFormat="1" applyFont="1" applyBorder="1" applyAlignment="1" applyProtection="1">
      <alignment vertical="center"/>
      <protection/>
    </xf>
    <xf numFmtId="178" fontId="24" fillId="0" borderId="24" xfId="112" applyNumberFormat="1" applyFont="1" applyBorder="1" applyAlignment="1" applyProtection="1">
      <alignment horizontal="left" vertical="center"/>
      <protection/>
    </xf>
    <xf numFmtId="182" fontId="0" fillId="0" borderId="25" xfId="112" applyFont="1" applyBorder="1" applyAlignment="1" applyProtection="1">
      <alignment horizontal="center" vertical="center"/>
      <protection/>
    </xf>
    <xf numFmtId="179" fontId="0" fillId="0" borderId="25" xfId="112" applyNumberFormat="1" applyFont="1" applyBorder="1" applyAlignment="1" applyProtection="1" quotePrefix="1">
      <alignment horizontal="center" vertical="center"/>
      <protection/>
    </xf>
    <xf numFmtId="181" fontId="0" fillId="0" borderId="25" xfId="112" applyNumberFormat="1" applyFont="1" applyBorder="1" applyAlignment="1" applyProtection="1">
      <alignment horizontal="center" vertical="center"/>
      <protection/>
    </xf>
    <xf numFmtId="1" fontId="44" fillId="0" borderId="0" xfId="112" applyNumberFormat="1" applyFont="1" applyBorder="1" applyAlignment="1" applyProtection="1">
      <alignment vertical="center"/>
      <protection/>
    </xf>
    <xf numFmtId="178" fontId="0" fillId="0" borderId="71" xfId="112" applyNumberFormat="1" applyFont="1" applyBorder="1" applyAlignment="1" applyProtection="1">
      <alignment horizontal="left" vertical="center"/>
      <protection/>
    </xf>
    <xf numFmtId="178" fontId="0" fillId="0" borderId="72" xfId="112" applyNumberFormat="1" applyFont="1" applyBorder="1" applyAlignment="1" applyProtection="1">
      <alignment horizontal="left" vertical="center"/>
      <protection/>
    </xf>
    <xf numFmtId="179" fontId="0" fillId="11" borderId="33" xfId="112" applyNumberFormat="1" applyFont="1" applyFill="1" applyBorder="1" applyAlignment="1" applyProtection="1">
      <alignment horizontal="left" vertical="center"/>
      <protection/>
    </xf>
    <xf numFmtId="178" fontId="0" fillId="0" borderId="55" xfId="112" applyNumberFormat="1" applyFont="1" applyBorder="1" applyAlignment="1" applyProtection="1">
      <alignment horizontal="left" vertical="center"/>
      <protection/>
    </xf>
    <xf numFmtId="179" fontId="0" fillId="11" borderId="43" xfId="112" applyNumberFormat="1" applyFont="1" applyFill="1" applyBorder="1" applyAlignment="1" applyProtection="1">
      <alignment horizontal="left" vertical="center"/>
      <protection/>
    </xf>
    <xf numFmtId="1" fontId="44" fillId="0" borderId="0" xfId="112" applyNumberFormat="1" applyFont="1" applyAlignment="1" applyProtection="1">
      <alignment vertical="center"/>
      <protection/>
    </xf>
    <xf numFmtId="1" fontId="0" fillId="0" borderId="0" xfId="112" applyNumberFormat="1" applyFont="1" applyBorder="1" applyAlignment="1" applyProtection="1">
      <alignment vertical="center"/>
      <protection/>
    </xf>
    <xf numFmtId="182" fontId="0" fillId="0" borderId="73" xfId="112" applyFont="1" applyBorder="1" applyAlignment="1" applyProtection="1">
      <alignment vertical="center"/>
      <protection/>
    </xf>
    <xf numFmtId="178" fontId="0" fillId="0" borderId="74" xfId="112" applyNumberFormat="1" applyFont="1" applyBorder="1" applyAlignment="1" applyProtection="1">
      <alignment horizontal="left" vertical="center"/>
      <protection/>
    </xf>
    <xf numFmtId="182" fontId="0" fillId="0" borderId="75" xfId="112" applyFont="1" applyBorder="1" applyAlignment="1" applyProtection="1">
      <alignment vertical="center"/>
      <protection/>
    </xf>
    <xf numFmtId="178" fontId="0" fillId="0" borderId="0" xfId="112" applyNumberFormat="1" applyFont="1" applyBorder="1" applyAlignment="1" applyProtection="1">
      <alignment horizontal="left" vertical="center"/>
      <protection/>
    </xf>
    <xf numFmtId="182" fontId="0" fillId="0" borderId="67" xfId="112" applyFont="1" applyBorder="1" applyAlignment="1" applyProtection="1">
      <alignment vertical="center"/>
      <protection/>
    </xf>
    <xf numFmtId="179" fontId="0" fillId="11" borderId="32" xfId="112" applyNumberFormat="1" applyFont="1" applyFill="1" applyBorder="1" applyAlignment="1" applyProtection="1">
      <alignment vertical="center"/>
      <protection/>
    </xf>
    <xf numFmtId="182" fontId="0" fillId="0" borderId="76" xfId="112" applyFont="1" applyBorder="1" applyAlignment="1" applyProtection="1">
      <alignment vertical="center"/>
      <protection/>
    </xf>
    <xf numFmtId="182" fontId="0" fillId="0" borderId="77" xfId="112" applyFont="1" applyBorder="1" applyAlignment="1" applyProtection="1">
      <alignment vertical="center"/>
      <protection/>
    </xf>
    <xf numFmtId="179" fontId="0" fillId="11" borderId="27" xfId="112" applyNumberFormat="1" applyFont="1" applyFill="1" applyBorder="1" applyAlignment="1" applyProtection="1">
      <alignment horizontal="left" vertical="center"/>
      <protection/>
    </xf>
    <xf numFmtId="182" fontId="0" fillId="0" borderId="74" xfId="112" applyFont="1" applyBorder="1" applyAlignment="1" applyProtection="1">
      <alignment vertical="center"/>
      <protection/>
    </xf>
    <xf numFmtId="179" fontId="0" fillId="11" borderId="30" xfId="112" applyNumberFormat="1" applyFont="1" applyFill="1" applyBorder="1" applyAlignment="1" applyProtection="1">
      <alignment horizontal="left" vertical="center"/>
      <protection/>
    </xf>
    <xf numFmtId="179" fontId="0" fillId="11" borderId="27" xfId="112" applyNumberFormat="1" applyFont="1" applyFill="1" applyBorder="1" applyAlignment="1" applyProtection="1">
      <alignment vertical="center"/>
      <protection/>
    </xf>
    <xf numFmtId="179" fontId="0" fillId="11" borderId="43" xfId="112" applyNumberFormat="1" applyFont="1" applyFill="1" applyBorder="1" applyAlignment="1" applyProtection="1">
      <alignment vertical="center"/>
      <protection/>
    </xf>
    <xf numFmtId="179" fontId="0" fillId="11" borderId="30" xfId="112" applyNumberFormat="1" applyFont="1" applyFill="1" applyBorder="1" applyAlignment="1" applyProtection="1">
      <alignment vertical="center"/>
      <protection/>
    </xf>
    <xf numFmtId="182" fontId="0" fillId="0" borderId="78" xfId="112" applyFont="1" applyBorder="1" applyAlignment="1" applyProtection="1">
      <alignment vertical="center"/>
      <protection/>
    </xf>
    <xf numFmtId="182" fontId="0" fillId="0" borderId="79" xfId="112" applyFont="1" applyBorder="1" applyAlignment="1" applyProtection="1">
      <alignment vertical="center"/>
      <protection/>
    </xf>
    <xf numFmtId="179" fontId="0" fillId="11" borderId="44" xfId="112" applyNumberFormat="1" applyFont="1" applyFill="1" applyBorder="1" applyAlignment="1" applyProtection="1">
      <alignment vertical="center"/>
      <protection/>
    </xf>
    <xf numFmtId="179" fontId="0" fillId="0" borderId="53" xfId="112" applyNumberFormat="1" applyFont="1" applyBorder="1" applyAlignment="1" applyProtection="1">
      <alignment vertical="center"/>
      <protection/>
    </xf>
    <xf numFmtId="182" fontId="0" fillId="0" borderId="80" xfId="112" applyFont="1" applyBorder="1" applyAlignment="1" applyProtection="1">
      <alignment vertical="center"/>
      <protection/>
    </xf>
    <xf numFmtId="179" fontId="0" fillId="0" borderId="81" xfId="112" applyNumberFormat="1" applyFont="1" applyBorder="1" applyAlignment="1" applyProtection="1">
      <alignment vertical="center"/>
      <protection/>
    </xf>
    <xf numFmtId="182" fontId="24" fillId="0" borderId="24" xfId="112" applyFont="1" applyBorder="1" applyAlignment="1" applyProtection="1">
      <alignment vertical="center"/>
      <protection/>
    </xf>
    <xf numFmtId="179" fontId="0" fillId="0" borderId="0" xfId="112" applyNumberFormat="1" applyFont="1" applyBorder="1" applyAlignment="1" applyProtection="1">
      <alignment horizontal="left" vertical="center"/>
      <protection/>
    </xf>
    <xf numFmtId="182" fontId="36" fillId="0" borderId="0" xfId="112" applyFont="1" applyAlignment="1" applyProtection="1">
      <alignment horizontal="right" vertical="center"/>
      <protection/>
    </xf>
    <xf numFmtId="182" fontId="0" fillId="0" borderId="24" xfId="112" applyFont="1" applyBorder="1" applyAlignment="1" applyProtection="1">
      <alignment vertical="center"/>
      <protection/>
    </xf>
    <xf numFmtId="179" fontId="0" fillId="0" borderId="0" xfId="112" applyNumberFormat="1" applyFont="1" applyAlignment="1" applyProtection="1">
      <alignment vertical="center"/>
      <protection/>
    </xf>
    <xf numFmtId="179" fontId="0" fillId="0" borderId="82" xfId="112" applyNumberFormat="1" applyFont="1" applyBorder="1" applyAlignment="1" applyProtection="1">
      <alignment vertical="center"/>
      <protection/>
    </xf>
    <xf numFmtId="179" fontId="0" fillId="0" borderId="19" xfId="112" applyNumberFormat="1" applyFont="1" applyBorder="1" applyAlignment="1" applyProtection="1">
      <alignment vertical="center"/>
      <protection/>
    </xf>
    <xf numFmtId="1" fontId="50" fillId="0" borderId="0" xfId="112" applyNumberFormat="1" applyFont="1" applyBorder="1" applyAlignment="1" applyProtection="1">
      <alignment vertical="center"/>
      <protection/>
    </xf>
    <xf numFmtId="182" fontId="50" fillId="0" borderId="0" xfId="112" applyNumberFormat="1" applyFont="1" applyAlignment="1" applyProtection="1">
      <alignment vertical="center"/>
      <protection/>
    </xf>
    <xf numFmtId="1" fontId="50" fillId="0" borderId="0" xfId="112" applyNumberFormat="1" applyFont="1" applyBorder="1" applyAlignment="1" applyProtection="1">
      <alignment horizontal="center" vertical="center"/>
      <protection/>
    </xf>
    <xf numFmtId="182" fontId="32" fillId="0" borderId="0" xfId="112" applyFont="1" applyProtection="1">
      <alignment/>
      <protection/>
    </xf>
    <xf numFmtId="182" fontId="0" fillId="0" borderId="47" xfId="112" applyFont="1" applyBorder="1" applyAlignment="1" applyProtection="1">
      <alignment vertical="center"/>
      <protection/>
    </xf>
    <xf numFmtId="182" fontId="0" fillId="0" borderId="83" xfId="112" applyFont="1" applyBorder="1" applyAlignment="1" applyProtection="1">
      <alignment vertical="center"/>
      <protection/>
    </xf>
    <xf numFmtId="182" fontId="0" fillId="0" borderId="48" xfId="112" applyFont="1" applyBorder="1" applyAlignment="1" applyProtection="1">
      <alignment vertical="center"/>
      <protection/>
    </xf>
    <xf numFmtId="179" fontId="24" fillId="0" borderId="67" xfId="112" applyNumberFormat="1" applyFont="1" applyBorder="1" applyAlignment="1" applyProtection="1">
      <alignment horizontal="centerContinuous" vertical="center"/>
      <protection/>
    </xf>
    <xf numFmtId="182" fontId="24" fillId="0" borderId="69" xfId="112" applyFont="1" applyBorder="1" applyAlignment="1" applyProtection="1">
      <alignment horizontal="centerContinuous" vertical="center"/>
      <protection/>
    </xf>
    <xf numFmtId="182" fontId="50" fillId="0" borderId="0" xfId="112" applyFont="1" applyAlignment="1" applyProtection="1">
      <alignment horizontal="left" vertical="center"/>
      <protection/>
    </xf>
    <xf numFmtId="2" fontId="50" fillId="0" borderId="0" xfId="112" applyNumberFormat="1" applyFont="1" applyBorder="1" applyAlignment="1" applyProtection="1">
      <alignment vertical="center"/>
      <protection/>
    </xf>
    <xf numFmtId="182" fontId="0" fillId="0" borderId="49" xfId="112" applyFont="1" applyBorder="1" applyAlignment="1" applyProtection="1">
      <alignment vertical="center"/>
      <protection/>
    </xf>
    <xf numFmtId="182" fontId="0" fillId="0" borderId="28" xfId="112" applyFont="1" applyBorder="1" applyAlignment="1" applyProtection="1">
      <alignment vertical="center"/>
      <protection/>
    </xf>
    <xf numFmtId="179" fontId="24" fillId="0" borderId="50" xfId="112" applyNumberFormat="1" applyFont="1" applyBorder="1" applyAlignment="1" applyProtection="1">
      <alignment horizontal="centerContinuous" vertical="center"/>
      <protection/>
    </xf>
    <xf numFmtId="182" fontId="24" fillId="0" borderId="51" xfId="112" applyFont="1" applyBorder="1" applyAlignment="1" applyProtection="1">
      <alignment horizontal="centerContinuous" vertical="center"/>
      <protection/>
    </xf>
    <xf numFmtId="179" fontId="24" fillId="0" borderId="50" xfId="112" applyNumberFormat="1" applyFont="1" applyBorder="1" applyAlignment="1" applyProtection="1">
      <alignment vertical="center"/>
      <protection/>
    </xf>
    <xf numFmtId="182" fontId="24" fillId="0" borderId="66" xfId="112" applyFont="1" applyBorder="1" applyAlignment="1" applyProtection="1">
      <alignment vertical="center"/>
      <protection/>
    </xf>
    <xf numFmtId="178" fontId="24" fillId="0" borderId="25" xfId="112" applyNumberFormat="1" applyFont="1" applyBorder="1" applyAlignment="1" applyProtection="1">
      <alignment horizontal="right" vertical="center"/>
      <protection/>
    </xf>
    <xf numFmtId="178" fontId="24" fillId="0" borderId="26" xfId="112" applyNumberFormat="1" applyFont="1" applyBorder="1" applyAlignment="1" applyProtection="1">
      <alignment horizontal="center" vertical="center"/>
      <protection/>
    </xf>
    <xf numFmtId="178" fontId="24" fillId="0" borderId="17" xfId="112" applyNumberFormat="1" applyFont="1" applyBorder="1" applyAlignment="1" applyProtection="1">
      <alignment horizontal="center" vertical="center"/>
      <protection/>
    </xf>
    <xf numFmtId="178" fontId="24" fillId="0" borderId="82" xfId="112" applyNumberFormat="1" applyFont="1" applyBorder="1" applyAlignment="1" applyProtection="1">
      <alignment horizontal="center" vertical="center"/>
      <protection/>
    </xf>
    <xf numFmtId="1" fontId="0" fillId="11" borderId="33" xfId="112" applyNumberFormat="1" applyFont="1" applyFill="1" applyBorder="1" applyAlignment="1" applyProtection="1">
      <alignment vertical="center"/>
      <protection/>
    </xf>
    <xf numFmtId="178" fontId="52" fillId="0" borderId="0" xfId="112" applyNumberFormat="1" applyFont="1" applyBorder="1" applyAlignment="1" applyProtection="1">
      <alignment horizontal="centerContinuous" vertical="center"/>
      <protection/>
    </xf>
    <xf numFmtId="1" fontId="0" fillId="11" borderId="43" xfId="112" applyNumberFormat="1" applyFont="1" applyFill="1" applyBorder="1" applyAlignment="1" applyProtection="1">
      <alignment vertical="center"/>
      <protection/>
    </xf>
    <xf numFmtId="178" fontId="52" fillId="0" borderId="0" xfId="112" applyNumberFormat="1" applyFont="1" applyBorder="1" applyAlignment="1" applyProtection="1">
      <alignment horizontal="left" vertical="center"/>
      <protection/>
    </xf>
    <xf numFmtId="1" fontId="0" fillId="11" borderId="84" xfId="112" applyNumberFormat="1" applyFont="1" applyFill="1" applyBorder="1" applyAlignment="1" applyProtection="1">
      <alignment vertical="center"/>
      <protection/>
    </xf>
    <xf numFmtId="178" fontId="24" fillId="0" borderId="85" xfId="112" applyNumberFormat="1" applyFont="1" applyBorder="1" applyAlignment="1" applyProtection="1">
      <alignment horizontal="left" vertical="center"/>
      <protection/>
    </xf>
    <xf numFmtId="178" fontId="24" fillId="0" borderId="86" xfId="112" applyNumberFormat="1" applyFont="1" applyBorder="1" applyAlignment="1" applyProtection="1">
      <alignment horizontal="left" vertical="center"/>
      <protection/>
    </xf>
    <xf numFmtId="178" fontId="24" fillId="0" borderId="87" xfId="112" applyNumberFormat="1" applyFont="1" applyBorder="1" applyAlignment="1" applyProtection="1">
      <alignment horizontal="left" vertical="center"/>
      <protection/>
    </xf>
    <xf numFmtId="181" fontId="24" fillId="0" borderId="88" xfId="112" applyNumberFormat="1" applyFont="1" applyBorder="1" applyAlignment="1" applyProtection="1">
      <alignment vertical="center"/>
      <protection/>
    </xf>
    <xf numFmtId="181" fontId="24" fillId="0" borderId="89" xfId="112" applyNumberFormat="1" applyFont="1" applyBorder="1" applyAlignment="1" applyProtection="1">
      <alignment vertical="center"/>
      <protection/>
    </xf>
    <xf numFmtId="182" fontId="52" fillId="0" borderId="0" xfId="112" applyNumberFormat="1" applyFont="1" applyAlignment="1" applyProtection="1">
      <alignment vertical="center"/>
      <protection/>
    </xf>
    <xf numFmtId="49" fontId="33" fillId="4" borderId="0" xfId="112" applyNumberFormat="1" applyFont="1" applyFill="1" applyBorder="1" applyAlignment="1" applyProtection="1">
      <alignment vertical="center"/>
      <protection/>
    </xf>
    <xf numFmtId="49" fontId="33" fillId="4" borderId="0" xfId="112" applyNumberFormat="1" applyFont="1" applyFill="1" applyAlignment="1" applyProtection="1">
      <alignment vertical="center"/>
      <protection/>
    </xf>
    <xf numFmtId="1" fontId="0" fillId="0" borderId="50" xfId="112" applyNumberFormat="1" applyFont="1" applyBorder="1" applyAlignment="1" applyProtection="1">
      <alignment vertical="center"/>
      <protection/>
    </xf>
    <xf numFmtId="1" fontId="0" fillId="0" borderId="36" xfId="112" applyNumberFormat="1" applyFont="1" applyBorder="1" applyAlignment="1" applyProtection="1">
      <alignment vertical="center"/>
      <protection/>
    </xf>
    <xf numFmtId="1" fontId="0" fillId="0" borderId="51" xfId="112" applyNumberFormat="1" applyFont="1" applyBorder="1" applyAlignment="1" applyProtection="1">
      <alignment vertical="center"/>
      <protection/>
    </xf>
    <xf numFmtId="182" fontId="24" fillId="0" borderId="0" xfId="112" applyNumberFormat="1" applyFont="1" applyBorder="1" applyAlignment="1" applyProtection="1">
      <alignment vertical="center"/>
      <protection/>
    </xf>
    <xf numFmtId="1" fontId="24" fillId="0" borderId="0" xfId="112" applyNumberFormat="1" applyFont="1" applyBorder="1" applyAlignment="1" applyProtection="1">
      <alignment vertical="center"/>
      <protection/>
    </xf>
    <xf numFmtId="182" fontId="54" fillId="0" borderId="0" xfId="112" applyFont="1" applyAlignment="1" applyProtection="1">
      <alignment vertical="center"/>
      <protection/>
    </xf>
    <xf numFmtId="2" fontId="29" fillId="0" borderId="0" xfId="112" applyNumberFormat="1" applyFont="1" applyAlignment="1" applyProtection="1">
      <alignment horizontal="left" vertical="center"/>
      <protection/>
    </xf>
    <xf numFmtId="182" fontId="0" fillId="0" borderId="0" xfId="112" applyFont="1" applyFill="1" applyAlignment="1" applyProtection="1">
      <alignment vertical="center"/>
      <protection/>
    </xf>
    <xf numFmtId="182" fontId="24" fillId="0" borderId="90" xfId="112" applyNumberFormat="1" applyFont="1" applyBorder="1" applyAlignment="1" applyProtection="1">
      <alignment vertical="center"/>
      <protection/>
    </xf>
    <xf numFmtId="182" fontId="24" fillId="0" borderId="91" xfId="112" applyNumberFormat="1" applyFont="1" applyBorder="1" applyAlignment="1" applyProtection="1">
      <alignment vertical="center"/>
      <protection/>
    </xf>
    <xf numFmtId="182" fontId="0" fillId="0" borderId="91" xfId="112" applyFont="1" applyBorder="1" applyAlignment="1" applyProtection="1">
      <alignment vertical="center"/>
      <protection/>
    </xf>
    <xf numFmtId="1" fontId="0" fillId="0" borderId="91" xfId="112" applyNumberFormat="1" applyFont="1" applyBorder="1" applyAlignment="1" applyProtection="1">
      <alignment vertical="center"/>
      <protection/>
    </xf>
    <xf numFmtId="1" fontId="0" fillId="0" borderId="91" xfId="112" applyNumberFormat="1" applyFont="1" applyFill="1" applyBorder="1" applyAlignment="1" applyProtection="1">
      <alignment vertical="center"/>
      <protection/>
    </xf>
    <xf numFmtId="1" fontId="0" fillId="0" borderId="92" xfId="112" applyNumberFormat="1" applyFont="1" applyBorder="1" applyAlignment="1" applyProtection="1">
      <alignment horizontal="center" vertical="center"/>
      <protection/>
    </xf>
    <xf numFmtId="1" fontId="0" fillId="0" borderId="93" xfId="112" applyNumberFormat="1" applyFont="1" applyBorder="1" applyAlignment="1" applyProtection="1">
      <alignment horizontal="center" vertical="center"/>
      <protection/>
    </xf>
    <xf numFmtId="182" fontId="0" fillId="0" borderId="0" xfId="112" applyFont="1" applyFill="1" applyBorder="1" applyAlignment="1" applyProtection="1">
      <alignment vertical="center"/>
      <protection/>
    </xf>
    <xf numFmtId="182" fontId="24" fillId="4" borderId="0" xfId="112" applyFont="1" applyFill="1" applyAlignment="1" applyProtection="1">
      <alignment vertical="center"/>
      <protection/>
    </xf>
    <xf numFmtId="182" fontId="24" fillId="0" borderId="0" xfId="112" applyFont="1" applyAlignment="1" applyProtection="1">
      <alignment horizontal="right" vertical="center"/>
      <protection/>
    </xf>
    <xf numFmtId="182" fontId="34" fillId="0" borderId="0" xfId="112" applyNumberFormat="1" applyFont="1" applyAlignment="1" applyProtection="1">
      <alignment vertical="center"/>
      <protection/>
    </xf>
    <xf numFmtId="182" fontId="1" fillId="0" borderId="0" xfId="112" applyFont="1" applyAlignment="1" applyProtection="1">
      <alignment vertical="center"/>
      <protection/>
    </xf>
    <xf numFmtId="182" fontId="33" fillId="0" borderId="0" xfId="112" applyFont="1" applyAlignment="1" applyProtection="1" quotePrefix="1">
      <alignment vertical="center"/>
      <protection/>
    </xf>
    <xf numFmtId="182" fontId="49" fillId="0" borderId="0" xfId="112" applyFont="1" applyAlignment="1" applyProtection="1">
      <alignment vertical="center"/>
      <protection/>
    </xf>
    <xf numFmtId="182" fontId="49" fillId="4" borderId="0" xfId="112" applyFont="1" applyFill="1" applyBorder="1" applyAlignment="1" applyProtection="1">
      <alignment vertical="center"/>
      <protection/>
    </xf>
    <xf numFmtId="2" fontId="29" fillId="0" borderId="0" xfId="112" applyNumberFormat="1" applyFont="1" applyAlignment="1" applyProtection="1">
      <alignment horizontal="right" vertical="center"/>
      <protection/>
    </xf>
    <xf numFmtId="0" fontId="23" fillId="7" borderId="39" xfId="0" applyNumberFormat="1" applyFont="1" applyFill="1" applyBorder="1" applyAlignment="1" applyProtection="1">
      <alignment/>
      <protection locked="0"/>
    </xf>
    <xf numFmtId="182" fontId="49" fillId="4" borderId="0" xfId="112" applyFont="1" applyFill="1" applyAlignment="1" applyProtection="1">
      <alignment vertical="center"/>
      <protection/>
    </xf>
    <xf numFmtId="182" fontId="0" fillId="0" borderId="61" xfId="112" applyFont="1" applyBorder="1" applyAlignment="1" applyProtection="1">
      <alignment vertical="center"/>
      <protection/>
    </xf>
    <xf numFmtId="182" fontId="0" fillId="0" borderId="62" xfId="112" applyFont="1" applyBorder="1" applyAlignment="1" applyProtection="1">
      <alignment vertical="center"/>
      <protection/>
    </xf>
    <xf numFmtId="182" fontId="0" fillId="0" borderId="94" xfId="112" applyFont="1" applyBorder="1" applyAlignment="1" applyProtection="1">
      <alignment vertical="center"/>
      <protection/>
    </xf>
    <xf numFmtId="178" fontId="24" fillId="0" borderId="17" xfId="112" applyNumberFormat="1" applyFont="1" applyBorder="1" applyAlignment="1" applyProtection="1">
      <alignment horizontal="centerContinuous" vertical="center"/>
      <protection/>
    </xf>
    <xf numFmtId="181" fontId="0" fillId="0" borderId="83" xfId="112" applyNumberFormat="1" applyFont="1" applyBorder="1" applyAlignment="1" applyProtection="1">
      <alignment horizontal="left" vertical="center"/>
      <protection/>
    </xf>
    <xf numFmtId="181" fontId="0" fillId="0" borderId="94" xfId="112" applyNumberFormat="1" applyFont="1" applyBorder="1" applyAlignment="1" applyProtection="1">
      <alignment horizontal="centerContinuous" vertical="center"/>
      <protection/>
    </xf>
    <xf numFmtId="181" fontId="0" fillId="0" borderId="95" xfId="112" applyNumberFormat="1" applyFont="1" applyBorder="1" applyAlignment="1" applyProtection="1">
      <alignment horizontal="centerContinuous" vertical="center"/>
      <protection/>
    </xf>
    <xf numFmtId="181" fontId="0" fillId="0" borderId="41" xfId="112" applyNumberFormat="1" applyFont="1" applyBorder="1" applyAlignment="1" applyProtection="1">
      <alignment horizontal="centerContinuous" vertical="center"/>
      <protection/>
    </xf>
    <xf numFmtId="0" fontId="49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78" fontId="0" fillId="0" borderId="0" xfId="112" applyNumberFormat="1" applyFont="1" applyFill="1" applyBorder="1" applyAlignment="1" applyProtection="1">
      <alignment horizontal="left" vertical="center"/>
      <protection hidden="1"/>
    </xf>
    <xf numFmtId="0" fontId="0" fillId="0" borderId="0" xfId="0" applyFill="1" applyAlignment="1" quotePrefix="1">
      <alignment/>
    </xf>
    <xf numFmtId="178" fontId="0" fillId="0" borderId="96" xfId="112" applyNumberFormat="1" applyFont="1" applyBorder="1" applyAlignment="1" applyProtection="1">
      <alignment horizontal="left" vertical="center"/>
      <protection/>
    </xf>
    <xf numFmtId="178" fontId="0" fillId="0" borderId="97" xfId="112" applyNumberFormat="1" applyFont="1" applyBorder="1" applyAlignment="1" applyProtection="1">
      <alignment horizontal="left" vertical="center"/>
      <protection/>
    </xf>
    <xf numFmtId="178" fontId="0" fillId="0" borderId="98" xfId="112" applyNumberFormat="1" applyFont="1" applyBorder="1" applyAlignment="1" applyProtection="1">
      <alignment horizontal="left" vertical="center"/>
      <protection/>
    </xf>
    <xf numFmtId="182" fontId="56" fillId="0" borderId="0" xfId="112" applyFont="1" applyAlignment="1" applyProtection="1">
      <alignment vertical="center"/>
      <protection/>
    </xf>
    <xf numFmtId="182" fontId="24" fillId="0" borderId="0" xfId="112" applyNumberFormat="1" applyFont="1" applyFill="1" applyBorder="1" applyAlignment="1" applyProtection="1">
      <alignment vertical="center"/>
      <protection/>
    </xf>
    <xf numFmtId="182" fontId="1" fillId="0" borderId="0" xfId="112" applyNumberFormat="1" applyFont="1" applyFill="1" applyBorder="1" applyAlignment="1" applyProtection="1">
      <alignment vertical="center"/>
      <protection/>
    </xf>
    <xf numFmtId="180" fontId="0" fillId="0" borderId="35" xfId="112" applyNumberFormat="1" applyFont="1" applyFill="1" applyBorder="1" applyAlignment="1" applyProtection="1">
      <alignment vertical="center"/>
      <protection/>
    </xf>
    <xf numFmtId="49" fontId="43" fillId="5" borderId="39" xfId="97" applyNumberFormat="1" applyFont="1" applyFill="1" applyBorder="1" applyAlignment="1" applyProtection="1">
      <alignment horizontal="left"/>
      <protection locked="0"/>
    </xf>
    <xf numFmtId="182" fontId="0" fillId="4" borderId="0" xfId="112" applyFont="1" applyFill="1" applyBorder="1" applyAlignment="1" applyProtection="1">
      <alignment vertical="center"/>
      <protection/>
    </xf>
    <xf numFmtId="2" fontId="50" fillId="0" borderId="0" xfId="112" applyNumberFormat="1" applyFont="1" applyAlignment="1">
      <alignment horizontal="left"/>
      <protection/>
    </xf>
    <xf numFmtId="14" fontId="0" fillId="0" borderId="0" xfId="0" applyNumberFormat="1" applyAlignment="1">
      <alignment/>
    </xf>
    <xf numFmtId="0" fontId="24" fillId="0" borderId="0" xfId="0" applyFont="1" applyAlignment="1">
      <alignment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58" fillId="0" borderId="0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wrapText="1"/>
    </xf>
    <xf numFmtId="181" fontId="0" fillId="0" borderId="0" xfId="112" applyNumberFormat="1" applyFont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 applyProtection="1">
      <alignment horizontal="left"/>
      <protection/>
    </xf>
    <xf numFmtId="178" fontId="0" fillId="11" borderId="33" xfId="112" applyNumberFormat="1" applyFont="1" applyFill="1" applyBorder="1" applyAlignment="1" applyProtection="1">
      <alignment/>
      <protection/>
    </xf>
    <xf numFmtId="178" fontId="0" fillId="11" borderId="43" xfId="112" applyNumberFormat="1" applyFont="1" applyFill="1" applyBorder="1" applyAlignment="1" applyProtection="1">
      <alignment/>
      <protection/>
    </xf>
    <xf numFmtId="178" fontId="0" fillId="11" borderId="44" xfId="112" applyNumberFormat="1" applyFont="1" applyFill="1" applyBorder="1" applyAlignment="1" applyProtection="1">
      <alignment/>
      <protection/>
    </xf>
    <xf numFmtId="0" fontId="50" fillId="0" borderId="4" xfId="0" applyFont="1" applyBorder="1" applyAlignment="1" applyProtection="1">
      <alignment/>
      <protection/>
    </xf>
    <xf numFmtId="180" fontId="24" fillId="0" borderId="0" xfId="112" applyNumberFormat="1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/>
      <protection/>
    </xf>
    <xf numFmtId="0" fontId="50" fillId="0" borderId="99" xfId="0" applyFont="1" applyBorder="1" applyAlignment="1" applyProtection="1">
      <alignment/>
      <protection/>
    </xf>
    <xf numFmtId="182" fontId="0" fillId="0" borderId="39" xfId="112" applyFont="1" applyBorder="1" applyAlignment="1" applyProtection="1">
      <alignment vertical="center"/>
      <protection/>
    </xf>
    <xf numFmtId="178" fontId="0" fillId="0" borderId="76" xfId="112" applyNumberFormat="1" applyFont="1" applyBorder="1" applyAlignment="1" applyProtection="1">
      <alignment horizontal="left" vertical="center"/>
      <protection/>
    </xf>
    <xf numFmtId="178" fontId="0" fillId="0" borderId="77" xfId="112" applyNumberFormat="1" applyFont="1" applyBorder="1" applyAlignment="1" applyProtection="1">
      <alignment horizontal="left" vertical="center"/>
      <protection/>
    </xf>
    <xf numFmtId="178" fontId="0" fillId="0" borderId="100" xfId="112" applyNumberFormat="1" applyFont="1" applyBorder="1" applyAlignment="1" applyProtection="1">
      <alignment horizontal="left" vertical="center"/>
      <protection/>
    </xf>
    <xf numFmtId="178" fontId="0" fillId="0" borderId="14" xfId="112" applyNumberFormat="1" applyFont="1" applyBorder="1" applyAlignment="1" applyProtection="1">
      <alignment horizontal="left" vertical="center"/>
      <protection/>
    </xf>
    <xf numFmtId="178" fontId="0" fillId="0" borderId="101" xfId="112" applyNumberFormat="1" applyFont="1" applyBorder="1" applyAlignment="1" applyProtection="1">
      <alignment horizontal="left" vertical="center"/>
      <protection/>
    </xf>
    <xf numFmtId="178" fontId="0" fillId="0" borderId="102" xfId="112" applyNumberFormat="1" applyFont="1" applyBorder="1" applyAlignment="1" applyProtection="1">
      <alignment horizontal="left" vertical="center"/>
      <protection/>
    </xf>
    <xf numFmtId="178" fontId="0" fillId="0" borderId="103" xfId="112" applyNumberFormat="1" applyFont="1" applyBorder="1" applyAlignment="1" applyProtection="1">
      <alignment horizontal="left" vertical="center"/>
      <protection/>
    </xf>
    <xf numFmtId="178" fontId="0" fillId="0" borderId="104" xfId="112" applyNumberFormat="1" applyFont="1" applyBorder="1" applyAlignment="1" applyProtection="1">
      <alignment horizontal="left" vertical="center"/>
      <protection/>
    </xf>
    <xf numFmtId="179" fontId="0" fillId="0" borderId="44" xfId="112" applyNumberFormat="1" applyFont="1" applyBorder="1" applyAlignment="1" applyProtection="1">
      <alignment vertical="center"/>
      <protection/>
    </xf>
    <xf numFmtId="179" fontId="0" fillId="0" borderId="87" xfId="112" applyNumberFormat="1" applyFont="1" applyBorder="1" applyAlignment="1" applyProtection="1">
      <alignment vertical="center"/>
      <protection/>
    </xf>
    <xf numFmtId="179" fontId="24" fillId="0" borderId="88" xfId="112" applyNumberFormat="1" applyFont="1" applyBorder="1" applyAlignment="1" applyProtection="1">
      <alignment vertical="center"/>
      <protection/>
    </xf>
    <xf numFmtId="179" fontId="0" fillId="0" borderId="88" xfId="112" applyNumberFormat="1" applyFont="1" applyBorder="1" applyAlignment="1" applyProtection="1">
      <alignment vertical="center"/>
      <protection/>
    </xf>
    <xf numFmtId="179" fontId="0" fillId="0" borderId="105" xfId="112" applyNumberFormat="1" applyFont="1" applyBorder="1" applyAlignment="1" applyProtection="1">
      <alignment vertical="center"/>
      <protection/>
    </xf>
    <xf numFmtId="182" fontId="24" fillId="0" borderId="106" xfId="112" applyNumberFormat="1" applyFont="1" applyBorder="1" applyAlignment="1" applyProtection="1">
      <alignment vertical="center"/>
      <protection/>
    </xf>
    <xf numFmtId="1" fontId="0" fillId="0" borderId="107" xfId="112" applyNumberFormat="1" applyFont="1" applyBorder="1" applyAlignment="1" applyProtection="1">
      <alignment horizontal="center" vertical="center"/>
      <protection/>
    </xf>
    <xf numFmtId="182" fontId="24" fillId="0" borderId="108" xfId="112" applyNumberFormat="1" applyFont="1" applyBorder="1" applyAlignment="1" applyProtection="1">
      <alignment vertical="center"/>
      <protection/>
    </xf>
    <xf numFmtId="182" fontId="24" fillId="0" borderId="18" xfId="112" applyNumberFormat="1" applyFont="1" applyBorder="1" applyAlignment="1" applyProtection="1">
      <alignment vertical="center"/>
      <protection/>
    </xf>
    <xf numFmtId="1" fontId="0" fillId="0" borderId="18" xfId="112" applyNumberFormat="1" applyFont="1" applyBorder="1" applyAlignment="1" applyProtection="1">
      <alignment vertical="center"/>
      <protection/>
    </xf>
    <xf numFmtId="1" fontId="0" fillId="0" borderId="18" xfId="112" applyNumberFormat="1" applyFont="1" applyFill="1" applyBorder="1" applyAlignment="1" applyProtection="1">
      <alignment vertical="center"/>
      <protection/>
    </xf>
    <xf numFmtId="1" fontId="0" fillId="0" borderId="91" xfId="112" applyNumberFormat="1" applyFont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/>
      <protection/>
    </xf>
    <xf numFmtId="182" fontId="52" fillId="4" borderId="0" xfId="112" applyFont="1" applyFill="1" applyAlignment="1" applyProtection="1">
      <alignment vertical="center"/>
      <protection/>
    </xf>
    <xf numFmtId="182" fontId="52" fillId="0" borderId="0" xfId="112" applyFont="1" applyBorder="1" applyAlignment="1" applyProtection="1">
      <alignment horizontal="right" vertical="center"/>
      <protection/>
    </xf>
    <xf numFmtId="182" fontId="52" fillId="0" borderId="0" xfId="112" applyFont="1" applyAlignment="1" applyProtection="1">
      <alignment vertical="center"/>
      <protection/>
    </xf>
    <xf numFmtId="182" fontId="50" fillId="0" borderId="0" xfId="112" applyFont="1" applyFill="1" applyBorder="1" applyAlignment="1" applyProtection="1">
      <alignment vertical="center"/>
      <protection/>
    </xf>
    <xf numFmtId="1" fontId="50" fillId="0" borderId="0" xfId="112" applyNumberFormat="1" applyFont="1" applyAlignment="1" applyProtection="1">
      <alignment horizontal="right" vertical="center"/>
      <protection/>
    </xf>
    <xf numFmtId="1" fontId="1" fillId="0" borderId="0" xfId="112" applyNumberFormat="1" applyFont="1" applyBorder="1" applyAlignment="1" applyProtection="1">
      <alignment horizontal="right"/>
      <protection/>
    </xf>
    <xf numFmtId="181" fontId="0" fillId="0" borderId="61" xfId="112" applyNumberFormat="1" applyFont="1" applyBorder="1" applyAlignment="1" applyProtection="1">
      <alignment horizontal="centerContinuous" vertical="center"/>
      <protection/>
    </xf>
    <xf numFmtId="182" fontId="29" fillId="0" borderId="0" xfId="112" applyFont="1" applyAlignment="1" applyProtection="1">
      <alignment vertical="center"/>
      <protection/>
    </xf>
    <xf numFmtId="1" fontId="0" fillId="0" borderId="0" xfId="112" applyNumberFormat="1" applyFont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182" fontId="50" fillId="0" borderId="109" xfId="112" applyFont="1" applyBorder="1" applyAlignment="1" applyProtection="1">
      <alignment vertical="center"/>
      <protection/>
    </xf>
    <xf numFmtId="180" fontId="24" fillId="0" borderId="54" xfId="112" applyNumberFormat="1" applyFont="1" applyBorder="1" applyAlignment="1" applyProtection="1">
      <alignment horizontal="centerContinuous" vertical="center"/>
      <protection/>
    </xf>
    <xf numFmtId="180" fontId="24" fillId="0" borderId="81" xfId="112" applyNumberFormat="1" applyFont="1" applyBorder="1" applyAlignment="1" applyProtection="1">
      <alignment horizontal="centerContinuous" vertical="center"/>
      <protection/>
    </xf>
    <xf numFmtId="182" fontId="0" fillId="0" borderId="0" xfId="112" applyFont="1" applyAlignment="1" applyProtection="1">
      <alignment horizontal="centerContinuous" vertical="center"/>
      <protection/>
    </xf>
    <xf numFmtId="0" fontId="24" fillId="0" borderId="0" xfId="0" applyFont="1" applyFill="1" applyBorder="1" applyAlignment="1">
      <alignment/>
    </xf>
    <xf numFmtId="0" fontId="0" fillId="0" borderId="0" xfId="0" applyAlignment="1" quotePrefix="1">
      <alignment/>
    </xf>
    <xf numFmtId="182" fontId="32" fillId="0" borderId="62" xfId="112" applyFont="1" applyBorder="1" applyAlignment="1" applyProtection="1">
      <alignment vertical="center"/>
      <protection/>
    </xf>
    <xf numFmtId="182" fontId="0" fillId="0" borderId="50" xfId="112" applyFont="1" applyBorder="1" applyAlignment="1" applyProtection="1">
      <alignment vertical="center"/>
      <protection/>
    </xf>
    <xf numFmtId="181" fontId="0" fillId="0" borderId="51" xfId="112" applyNumberFormat="1" applyFont="1" applyBorder="1" applyAlignment="1" applyProtection="1">
      <alignment horizontal="centerContinuous" vertical="center"/>
      <protection/>
    </xf>
    <xf numFmtId="182" fontId="0" fillId="0" borderId="51" xfId="112" applyFont="1" applyBorder="1" applyAlignment="1" applyProtection="1">
      <alignment vertical="center"/>
      <protection/>
    </xf>
    <xf numFmtId="181" fontId="0" fillId="0" borderId="49" xfId="112" applyNumberFormat="1" applyFont="1" applyBorder="1" applyAlignment="1" applyProtection="1">
      <alignment horizontal="centerContinuous" vertical="center"/>
      <protection/>
    </xf>
    <xf numFmtId="181" fontId="0" fillId="0" borderId="28" xfId="112" applyNumberFormat="1" applyFont="1" applyBorder="1" applyAlignment="1" applyProtection="1">
      <alignment horizontal="centerContinuous" vertical="center"/>
      <protection/>
    </xf>
    <xf numFmtId="182" fontId="0" fillId="0" borderId="54" xfId="112" applyFont="1" applyBorder="1" applyAlignment="1" applyProtection="1">
      <alignment vertical="center"/>
      <protection/>
    </xf>
    <xf numFmtId="182" fontId="0" fillId="0" borderId="38" xfId="112" applyFont="1" applyBorder="1" applyAlignment="1" applyProtection="1">
      <alignment vertical="center"/>
      <protection/>
    </xf>
    <xf numFmtId="182" fontId="32" fillId="0" borderId="50" xfId="112" applyFont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28" fillId="0" borderId="0" xfId="0" applyFont="1" applyBorder="1" applyAlignment="1">
      <alignment/>
    </xf>
    <xf numFmtId="178" fontId="1" fillId="0" borderId="56" xfId="112" applyNumberFormat="1" applyFont="1" applyBorder="1" applyAlignment="1" applyProtection="1">
      <alignment horizontal="right" vertical="center"/>
      <protection/>
    </xf>
    <xf numFmtId="178" fontId="1" fillId="0" borderId="74" xfId="112" applyNumberFormat="1" applyFont="1" applyBorder="1" applyAlignment="1" applyProtection="1">
      <alignment horizontal="right" vertical="center"/>
      <protection/>
    </xf>
    <xf numFmtId="0" fontId="33" fillId="0" borderId="0" xfId="0" applyFont="1" applyFill="1" applyAlignment="1">
      <alignment/>
    </xf>
    <xf numFmtId="0" fontId="0" fillId="0" borderId="0" xfId="0" applyFont="1" applyFill="1" applyBorder="1" applyAlignment="1">
      <alignment vertical="top" wrapText="1"/>
    </xf>
    <xf numFmtId="0" fontId="57" fillId="0" borderId="0" xfId="0" applyFont="1" applyFill="1" applyAlignment="1">
      <alignment/>
    </xf>
    <xf numFmtId="182" fontId="0" fillId="0" borderId="32" xfId="112" applyFont="1" applyBorder="1" applyAlignment="1" applyProtection="1">
      <alignment horizontal="center" vertical="center"/>
      <protection/>
    </xf>
    <xf numFmtId="182" fontId="0" fillId="0" borderId="16" xfId="112" applyFont="1" applyBorder="1" applyAlignment="1" applyProtection="1">
      <alignment horizontal="center" vertical="center"/>
      <protection/>
    </xf>
    <xf numFmtId="182" fontId="0" fillId="0" borderId="35" xfId="112" applyFont="1" applyBorder="1" applyAlignment="1" applyProtection="1">
      <alignment horizontal="center" vertical="center"/>
      <protection/>
    </xf>
    <xf numFmtId="2" fontId="0" fillId="5" borderId="17" xfId="112" applyNumberFormat="1" applyFont="1" applyFill="1" applyBorder="1" applyAlignment="1" applyProtection="1" quotePrefix="1">
      <alignment horizontal="center" vertical="center"/>
      <protection locked="0"/>
    </xf>
    <xf numFmtId="180" fontId="0" fillId="5" borderId="110" xfId="112" applyNumberFormat="1" applyFont="1" applyFill="1" applyBorder="1" applyAlignment="1" applyProtection="1">
      <alignment vertical="center"/>
      <protection locked="0"/>
    </xf>
    <xf numFmtId="182" fontId="0" fillId="0" borderId="17" xfId="112" applyFont="1" applyBorder="1" applyAlignment="1" applyProtection="1">
      <alignment horizontal="right" vertical="center"/>
      <protection/>
    </xf>
    <xf numFmtId="1" fontId="24" fillId="0" borderId="17" xfId="112" applyNumberFormat="1" applyFont="1" applyBorder="1" applyAlignment="1" applyProtection="1">
      <alignment horizontal="right" vertical="center"/>
      <protection/>
    </xf>
    <xf numFmtId="2" fontId="0" fillId="0" borderId="17" xfId="112" applyNumberFormat="1" applyFont="1" applyBorder="1" applyAlignment="1" applyProtection="1">
      <alignment horizontal="right" vertical="center"/>
      <protection/>
    </xf>
    <xf numFmtId="182" fontId="46" fillId="0" borderId="0" xfId="112" applyFont="1" applyAlignment="1" applyProtection="1">
      <alignment horizontal="right" vertical="center"/>
      <protection/>
    </xf>
    <xf numFmtId="0" fontId="28" fillId="0" borderId="0" xfId="0" applyFont="1" applyFill="1" applyBorder="1" applyAlignment="1">
      <alignment/>
    </xf>
    <xf numFmtId="178" fontId="60" fillId="0" borderId="0" xfId="112" applyNumberFormat="1" applyFont="1" applyAlignment="1" applyProtection="1">
      <alignment horizontal="left" vertical="center"/>
      <protection/>
    </xf>
    <xf numFmtId="182" fontId="61" fillId="0" borderId="0" xfId="112" applyFont="1" applyBorder="1" applyAlignment="1" applyProtection="1">
      <alignment vertical="center"/>
      <protection/>
    </xf>
    <xf numFmtId="182" fontId="62" fillId="0" borderId="0" xfId="112" applyFont="1" applyAlignment="1" applyProtection="1">
      <alignment vertical="center"/>
      <protection/>
    </xf>
    <xf numFmtId="182" fontId="61" fillId="0" borderId="0" xfId="112" applyFont="1" applyAlignment="1" applyProtection="1">
      <alignment vertical="center"/>
      <protection/>
    </xf>
    <xf numFmtId="182" fontId="61" fillId="0" borderId="0" xfId="112" applyFont="1" applyAlignment="1" applyProtection="1">
      <alignment horizontal="right" vertical="center"/>
      <protection/>
    </xf>
    <xf numFmtId="199" fontId="62" fillId="0" borderId="0" xfId="112" applyNumberFormat="1" applyFont="1" applyAlignment="1" applyProtection="1">
      <alignment vertical="center"/>
      <protection/>
    </xf>
    <xf numFmtId="3" fontId="24" fillId="0" borderId="17" xfId="112" applyNumberFormat="1" applyFont="1" applyBorder="1" applyAlignment="1" applyProtection="1">
      <alignment horizontal="right" vertical="center"/>
      <protection/>
    </xf>
    <xf numFmtId="180" fontId="0" fillId="0" borderId="111" xfId="112" applyNumberFormat="1" applyFont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Alignment="1">
      <alignment horizontal="left"/>
    </xf>
    <xf numFmtId="182" fontId="0" fillId="4" borderId="0" xfId="112" applyFont="1" applyFill="1" applyAlignment="1" applyProtection="1">
      <alignment vertical="center"/>
      <protection/>
    </xf>
    <xf numFmtId="182" fontId="45" fillId="4" borderId="0" xfId="112" applyFont="1" applyFill="1" applyAlignment="1" applyProtection="1">
      <alignment vertical="center"/>
      <protection/>
    </xf>
    <xf numFmtId="178" fontId="22" fillId="4" borderId="0" xfId="112" applyNumberFormat="1" applyFont="1" applyFill="1" applyBorder="1" applyAlignment="1" applyProtection="1">
      <alignment vertical="center"/>
      <protection/>
    </xf>
    <xf numFmtId="178" fontId="22" fillId="4" borderId="18" xfId="112" applyNumberFormat="1" applyFont="1" applyFill="1" applyBorder="1" applyAlignment="1" applyProtection="1">
      <alignment vertical="center"/>
      <protection/>
    </xf>
    <xf numFmtId="182" fontId="0" fillId="4" borderId="18" xfId="112" applyFont="1" applyFill="1" applyBorder="1" applyAlignment="1" applyProtection="1">
      <alignment vertical="center"/>
      <protection/>
    </xf>
    <xf numFmtId="182" fontId="22" fillId="4" borderId="18" xfId="112" applyFont="1" applyFill="1" applyBorder="1" applyAlignment="1" applyProtection="1">
      <alignment vertical="center"/>
      <protection/>
    </xf>
    <xf numFmtId="182" fontId="27" fillId="4" borderId="18" xfId="112" applyFont="1" applyFill="1" applyBorder="1" applyAlignment="1" applyProtection="1">
      <alignment vertical="center"/>
      <protection/>
    </xf>
    <xf numFmtId="182" fontId="22" fillId="4" borderId="0" xfId="112" applyFont="1" applyFill="1" applyBorder="1" applyAlignment="1" applyProtection="1">
      <alignment vertical="center"/>
      <protection/>
    </xf>
    <xf numFmtId="182" fontId="27" fillId="4" borderId="0" xfId="112" applyFont="1" applyFill="1" applyBorder="1" applyAlignment="1" applyProtection="1">
      <alignment vertical="center"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left"/>
      <protection/>
    </xf>
    <xf numFmtId="0" fontId="0" fillId="4" borderId="0" xfId="0" applyFill="1" applyAlignment="1">
      <alignment/>
    </xf>
    <xf numFmtId="182" fontId="25" fillId="4" borderId="0" xfId="112" applyFont="1" applyFill="1" applyAlignment="1" applyProtection="1">
      <alignment vertical="center"/>
      <protection/>
    </xf>
    <xf numFmtId="0" fontId="0" fillId="4" borderId="0" xfId="0" applyFont="1" applyFill="1" applyAlignment="1">
      <alignment/>
    </xf>
    <xf numFmtId="178" fontId="0" fillId="4" borderId="20" xfId="112" applyNumberFormat="1" applyFont="1" applyFill="1" applyBorder="1" applyAlignment="1" applyProtection="1">
      <alignment horizontal="right" vertical="center"/>
      <protection/>
    </xf>
    <xf numFmtId="3" fontId="0" fillId="4" borderId="17" xfId="0" applyNumberFormat="1" applyFill="1" applyBorder="1" applyAlignment="1">
      <alignment horizontal="center"/>
    </xf>
    <xf numFmtId="3" fontId="0" fillId="5" borderId="17" xfId="112" applyNumberFormat="1" applyFont="1" applyFill="1" applyBorder="1" applyAlignment="1" applyProtection="1">
      <alignment horizontal="center" vertical="center"/>
      <protection locked="0"/>
    </xf>
    <xf numFmtId="3" fontId="0" fillId="4" borderId="17" xfId="0" applyNumberFormat="1" applyFont="1" applyFill="1" applyBorder="1" applyAlignment="1">
      <alignment horizontal="center"/>
    </xf>
    <xf numFmtId="0" fontId="0" fillId="4" borderId="0" xfId="0" applyFont="1" applyFill="1" applyAlignment="1">
      <alignment/>
    </xf>
    <xf numFmtId="182" fontId="0" fillId="4" borderId="0" xfId="112" applyFont="1" applyFill="1" applyAlignment="1" applyProtection="1">
      <alignment vertical="center"/>
      <protection/>
    </xf>
    <xf numFmtId="0" fontId="0" fillId="4" borderId="0" xfId="0" applyFill="1" applyAlignment="1">
      <alignment/>
    </xf>
    <xf numFmtId="3" fontId="0" fillId="4" borderId="17" xfId="112" applyNumberFormat="1" applyFont="1" applyFill="1" applyBorder="1" applyAlignment="1" applyProtection="1">
      <alignment horizontal="center" vertical="center"/>
      <protection/>
    </xf>
    <xf numFmtId="182" fontId="0" fillId="4" borderId="0" xfId="112" applyFont="1" applyFill="1" applyAlignment="1" applyProtection="1">
      <alignment horizontal="center" vertical="center"/>
      <protection/>
    </xf>
    <xf numFmtId="178" fontId="25" fillId="4" borderId="0" xfId="112" applyNumberFormat="1" applyFont="1" applyFill="1" applyAlignment="1" applyProtection="1">
      <alignment horizontal="left" vertical="center"/>
      <protection/>
    </xf>
    <xf numFmtId="0" fontId="0" fillId="4" borderId="0" xfId="0" applyFill="1" applyAlignment="1">
      <alignment horizontal="center"/>
    </xf>
    <xf numFmtId="0" fontId="24" fillId="4" borderId="0" xfId="0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211" fontId="24" fillId="4" borderId="112" xfId="0" applyNumberFormat="1" applyFont="1" applyFill="1" applyBorder="1" applyAlignment="1">
      <alignment horizontal="center"/>
    </xf>
    <xf numFmtId="0" fontId="46" fillId="4" borderId="0" xfId="0" applyFont="1" applyFill="1" applyAlignment="1">
      <alignment/>
    </xf>
    <xf numFmtId="182" fontId="24" fillId="4" borderId="0" xfId="112" applyFont="1" applyFill="1" applyAlignment="1" applyProtection="1">
      <alignment vertical="center"/>
      <protection/>
    </xf>
    <xf numFmtId="182" fontId="32" fillId="4" borderId="0" xfId="112" applyFont="1" applyFill="1" applyAlignment="1" applyProtection="1">
      <alignment vertical="center"/>
      <protection/>
    </xf>
    <xf numFmtId="189" fontId="0" fillId="0" borderId="0" xfId="112" applyNumberFormat="1" applyFont="1" applyFill="1" applyBorder="1" applyAlignment="1" applyProtection="1" quotePrefix="1">
      <alignment horizontal="center" vertical="center"/>
      <protection/>
    </xf>
    <xf numFmtId="1" fontId="29" fillId="0" borderId="0" xfId="112" applyNumberFormat="1" applyFont="1" applyBorder="1" applyAlignment="1" applyProtection="1">
      <alignment vertical="center"/>
      <protection/>
    </xf>
    <xf numFmtId="1" fontId="25" fillId="0" borderId="0" xfId="112" applyNumberFormat="1" applyFont="1" applyBorder="1" applyAlignment="1" applyProtection="1">
      <alignment horizontal="right" vertical="center"/>
      <protection/>
    </xf>
    <xf numFmtId="182" fontId="33" fillId="0" borderId="0" xfId="112" applyFont="1" applyFill="1" applyAlignment="1" applyProtection="1">
      <alignment vertical="center"/>
      <protection/>
    </xf>
    <xf numFmtId="180" fontId="24" fillId="0" borderId="0" xfId="112" applyNumberFormat="1" applyFont="1" applyBorder="1" applyAlignment="1" applyProtection="1">
      <alignment horizontal="centerContinuous" vertical="center"/>
      <protection/>
    </xf>
    <xf numFmtId="178" fontId="24" fillId="0" borderId="29" xfId="112" applyNumberFormat="1" applyFont="1" applyBorder="1" applyAlignment="1" applyProtection="1">
      <alignment horizontal="center" vertical="center"/>
      <protection/>
    </xf>
    <xf numFmtId="178" fontId="24" fillId="0" borderId="43" xfId="112" applyNumberFormat="1" applyFont="1" applyBorder="1" applyAlignment="1" applyProtection="1">
      <alignment horizontal="center" vertical="center"/>
      <protection/>
    </xf>
    <xf numFmtId="178" fontId="24" fillId="0" borderId="83" xfId="112" applyNumberFormat="1" applyFont="1" applyBorder="1" applyAlignment="1" applyProtection="1">
      <alignment horizontal="centerContinuous" vertical="center"/>
      <protection/>
    </xf>
    <xf numFmtId="182" fontId="28" fillId="0" borderId="83" xfId="112" applyFont="1" applyBorder="1" applyAlignment="1" applyProtection="1">
      <alignment horizontal="centerContinuous" vertical="center"/>
      <protection/>
    </xf>
    <xf numFmtId="178" fontId="24" fillId="0" borderId="50" xfId="112" applyNumberFormat="1" applyFont="1" applyBorder="1" applyAlignment="1" applyProtection="1">
      <alignment horizontal="center" vertical="center"/>
      <protection/>
    </xf>
    <xf numFmtId="178" fontId="34" fillId="0" borderId="36" xfId="112" applyNumberFormat="1" applyFont="1" applyBorder="1" applyAlignment="1" applyProtection="1">
      <alignment horizontal="centerContinuous" vertical="center"/>
      <protection/>
    </xf>
    <xf numFmtId="182" fontId="41" fillId="0" borderId="36" xfId="112" applyFont="1" applyBorder="1" applyAlignment="1" applyProtection="1">
      <alignment horizontal="centerContinuous" vertical="center"/>
      <protection/>
    </xf>
    <xf numFmtId="178" fontId="24" fillId="0" borderId="36" xfId="112" applyNumberFormat="1" applyFont="1" applyBorder="1" applyAlignment="1" applyProtection="1">
      <alignment horizontal="centerContinuous" vertical="center"/>
      <protection/>
    </xf>
    <xf numFmtId="198" fontId="0" fillId="0" borderId="0" xfId="112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198" fontId="0" fillId="0" borderId="17" xfId="112" applyNumberFormat="1" applyFont="1" applyBorder="1" applyAlignment="1" applyProtection="1">
      <alignment horizontal="right" vertical="center"/>
      <protection/>
    </xf>
    <xf numFmtId="178" fontId="24" fillId="0" borderId="49" xfId="112" applyNumberFormat="1" applyFont="1" applyBorder="1" applyAlignment="1" applyProtection="1">
      <alignment horizontal="centerContinuous" vertical="center"/>
      <protection/>
    </xf>
    <xf numFmtId="178" fontId="24" fillId="0" borderId="28" xfId="112" applyNumberFormat="1" applyFont="1" applyBorder="1" applyAlignment="1" applyProtection="1">
      <alignment horizontal="centerContinuous" vertical="center"/>
      <protection/>
    </xf>
    <xf numFmtId="179" fontId="63" fillId="0" borderId="50" xfId="112" applyNumberFormat="1" applyFont="1" applyBorder="1" applyAlignment="1" applyProtection="1" quotePrefix="1">
      <alignment horizontal="centerContinuous" vertical="center"/>
      <protection/>
    </xf>
    <xf numFmtId="182" fontId="63" fillId="0" borderId="51" xfId="112" applyFont="1" applyBorder="1" applyAlignment="1" applyProtection="1">
      <alignment horizontal="centerContinuous" vertical="center"/>
      <protection/>
    </xf>
    <xf numFmtId="178" fontId="63" fillId="0" borderId="50" xfId="112" applyNumberFormat="1" applyFont="1" applyBorder="1" applyAlignment="1" applyProtection="1" quotePrefix="1">
      <alignment horizontal="centerContinuous" vertical="center"/>
      <protection/>
    </xf>
    <xf numFmtId="182" fontId="1" fillId="0" borderId="51" xfId="112" applyFont="1" applyBorder="1" applyAlignment="1" applyProtection="1">
      <alignment horizontal="centerContinuous" vertical="center"/>
      <protection/>
    </xf>
    <xf numFmtId="182" fontId="1" fillId="0" borderId="113" xfId="112" applyFont="1" applyBorder="1" applyAlignment="1" applyProtection="1">
      <alignment horizontal="centerContinuous" vertical="center"/>
      <protection/>
    </xf>
    <xf numFmtId="178" fontId="63" fillId="0" borderId="54" xfId="112" applyNumberFormat="1" applyFont="1" applyBorder="1" applyAlignment="1" applyProtection="1" quotePrefix="1">
      <alignment horizontal="centerContinuous" vertical="center"/>
      <protection/>
    </xf>
    <xf numFmtId="182" fontId="1" fillId="0" borderId="82" xfId="112" applyFont="1" applyBorder="1" applyAlignment="1" applyProtection="1">
      <alignment horizontal="centerContinuous" vertical="center"/>
      <protection/>
    </xf>
    <xf numFmtId="198" fontId="0" fillId="5" borderId="32" xfId="112" applyNumberFormat="1" applyFont="1" applyFill="1" applyBorder="1" applyAlignment="1" applyProtection="1">
      <alignment/>
      <protection locked="0"/>
    </xf>
    <xf numFmtId="182" fontId="47" fillId="0" borderId="0" xfId="112" applyNumberFormat="1" applyFont="1" applyFill="1" applyBorder="1" applyAlignment="1" applyProtection="1">
      <alignment vertical="center"/>
      <protection/>
    </xf>
    <xf numFmtId="180" fontId="24" fillId="0" borderId="0" xfId="112" applyNumberFormat="1" applyFont="1" applyFill="1" applyBorder="1" applyAlignment="1" applyProtection="1">
      <alignment horizontal="centerContinuous" vertical="center"/>
      <protection/>
    </xf>
    <xf numFmtId="180" fontId="0" fillId="5" borderId="64" xfId="112" applyNumberFormat="1" applyFont="1" applyFill="1" applyBorder="1" applyAlignment="1" applyProtection="1">
      <alignment vertical="center"/>
      <protection locked="0"/>
    </xf>
    <xf numFmtId="180" fontId="0" fillId="5" borderId="58" xfId="112" applyNumberFormat="1" applyFont="1" applyFill="1" applyBorder="1" applyAlignment="1" applyProtection="1">
      <alignment vertical="center"/>
      <protection locked="0"/>
    </xf>
    <xf numFmtId="180" fontId="0" fillId="5" borderId="96" xfId="112" applyNumberFormat="1" applyFont="1" applyFill="1" applyBorder="1" applyAlignment="1" applyProtection="1">
      <alignment vertical="center"/>
      <protection locked="0"/>
    </xf>
    <xf numFmtId="180" fontId="0" fillId="5" borderId="42" xfId="112" applyNumberFormat="1" applyFont="1" applyFill="1" applyBorder="1" applyAlignment="1" applyProtection="1">
      <alignment vertical="center"/>
      <protection locked="0"/>
    </xf>
    <xf numFmtId="180" fontId="0" fillId="5" borderId="40" xfId="112" applyNumberFormat="1" applyFont="1" applyFill="1" applyBorder="1" applyAlignment="1" applyProtection="1">
      <alignment vertical="center"/>
      <protection locked="0"/>
    </xf>
    <xf numFmtId="180" fontId="0" fillId="5" borderId="98" xfId="112" applyNumberFormat="1" applyFont="1" applyFill="1" applyBorder="1" applyAlignment="1" applyProtection="1">
      <alignment vertical="center"/>
      <protection locked="0"/>
    </xf>
    <xf numFmtId="182" fontId="61" fillId="0" borderId="0" xfId="112" applyFont="1" applyAlignment="1" applyProtection="1">
      <alignment horizontal="left" vertical="center"/>
      <protection/>
    </xf>
    <xf numFmtId="182" fontId="62" fillId="0" borderId="0" xfId="112" applyFont="1" applyAlignment="1" applyProtection="1">
      <alignment horizontal="right" vertical="center"/>
      <protection/>
    </xf>
    <xf numFmtId="182" fontId="61" fillId="0" borderId="0" xfId="112" applyFont="1" applyAlignment="1" applyProtection="1">
      <alignment horizontal="right" vertical="center"/>
      <protection/>
    </xf>
    <xf numFmtId="182" fontId="62" fillId="0" borderId="0" xfId="112" applyFont="1" applyAlignment="1" applyProtection="1">
      <alignment horizontal="left" vertical="center"/>
      <protection/>
    </xf>
    <xf numFmtId="182" fontId="62" fillId="0" borderId="0" xfId="112" applyFont="1" applyAlignment="1" applyProtection="1">
      <alignment horizontal="centerContinuous" vertical="center"/>
      <protection/>
    </xf>
    <xf numFmtId="182" fontId="62" fillId="0" borderId="0" xfId="112" applyFont="1" applyAlignment="1" applyProtection="1">
      <alignment horizontal="center" vertical="center"/>
      <protection/>
    </xf>
    <xf numFmtId="180" fontId="0" fillId="0" borderId="43" xfId="112" applyNumberFormat="1" applyFont="1" applyFill="1" applyBorder="1" applyAlignment="1" applyProtection="1">
      <alignment vertical="center"/>
      <protection/>
    </xf>
    <xf numFmtId="180" fontId="0" fillId="0" borderId="44" xfId="112" applyNumberFormat="1" applyFont="1" applyFill="1" applyBorder="1" applyAlignment="1" applyProtection="1">
      <alignment vertical="center"/>
      <protection/>
    </xf>
    <xf numFmtId="180" fontId="24" fillId="0" borderId="38" xfId="112" applyNumberFormat="1" applyFont="1" applyBorder="1" applyAlignment="1" applyProtection="1">
      <alignment horizontal="centerContinuous" vertical="center"/>
      <protection/>
    </xf>
    <xf numFmtId="0" fontId="0" fillId="0" borderId="0" xfId="0" applyFont="1" applyFill="1" applyAlignment="1" quotePrefix="1">
      <alignment/>
    </xf>
    <xf numFmtId="0" fontId="64" fillId="0" borderId="0" xfId="0" applyFont="1" applyAlignment="1">
      <alignment/>
    </xf>
    <xf numFmtId="178" fontId="0" fillId="0" borderId="0" xfId="112" applyNumberFormat="1" applyFont="1" applyFill="1" applyBorder="1" applyAlignment="1" applyProtection="1">
      <alignment horizontal="left" vertical="center"/>
      <protection hidden="1"/>
    </xf>
    <xf numFmtId="178" fontId="0" fillId="0" borderId="0" xfId="112" applyNumberFormat="1" applyFont="1" applyFill="1" applyBorder="1" applyAlignment="1" applyProtection="1">
      <alignment horizontal="left" vertical="center"/>
      <protection hidden="1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0" fillId="0" borderId="0" xfId="0" applyAlignment="1" applyProtection="1">
      <alignment/>
      <protection locked="0"/>
    </xf>
    <xf numFmtId="1" fontId="0" fillId="0" borderId="0" xfId="112" applyNumberFormat="1" applyFont="1" applyBorder="1" applyAlignment="1" applyProtection="1">
      <alignment horizontal="left" vertical="center"/>
      <protection/>
    </xf>
    <xf numFmtId="1" fontId="50" fillId="0" borderId="0" xfId="112" applyNumberFormat="1" applyFont="1" applyFill="1" applyBorder="1" applyAlignment="1" applyProtection="1">
      <alignment vertical="center"/>
      <protection/>
    </xf>
    <xf numFmtId="178" fontId="24" fillId="0" borderId="49" xfId="112" applyNumberFormat="1" applyFont="1" applyFill="1" applyBorder="1" applyAlignment="1" applyProtection="1">
      <alignment vertical="center"/>
      <protection/>
    </xf>
    <xf numFmtId="0" fontId="24" fillId="0" borderId="0" xfId="112" applyNumberFormat="1" applyFont="1" applyFill="1" applyBorder="1" applyAlignment="1" applyProtection="1">
      <alignment vertical="center"/>
      <protection/>
    </xf>
    <xf numFmtId="178" fontId="24" fillId="0" borderId="50" xfId="112" applyNumberFormat="1" applyFont="1" applyFill="1" applyBorder="1" applyAlignment="1" applyProtection="1">
      <alignment vertical="center"/>
      <protection/>
    </xf>
    <xf numFmtId="0" fontId="24" fillId="0" borderId="36" xfId="112" applyNumberFormat="1" applyFont="1" applyFill="1" applyBorder="1" applyAlignment="1" applyProtection="1">
      <alignment vertical="center"/>
      <protection/>
    </xf>
    <xf numFmtId="182" fontId="24" fillId="0" borderId="36" xfId="112" applyFont="1" applyFill="1" applyBorder="1" applyAlignment="1" applyProtection="1">
      <alignment vertical="center"/>
      <protection/>
    </xf>
    <xf numFmtId="0" fontId="24" fillId="0" borderId="36" xfId="112" applyNumberFormat="1" applyFont="1" applyFill="1" applyBorder="1" applyAlignment="1" applyProtection="1">
      <alignment horizontal="center" vertical="center"/>
      <protection/>
    </xf>
    <xf numFmtId="1" fontId="24" fillId="0" borderId="36" xfId="112" applyNumberFormat="1" applyFont="1" applyFill="1" applyBorder="1" applyAlignment="1" applyProtection="1">
      <alignment horizontal="center"/>
      <protection/>
    </xf>
    <xf numFmtId="182" fontId="24" fillId="0" borderId="36" xfId="112" applyNumberFormat="1" applyFont="1" applyFill="1" applyBorder="1" applyAlignment="1" applyProtection="1">
      <alignment horizontal="center" vertical="center"/>
      <protection/>
    </xf>
    <xf numFmtId="181" fontId="24" fillId="0" borderId="36" xfId="112" applyNumberFormat="1" applyFont="1" applyFill="1" applyBorder="1" applyAlignment="1" applyProtection="1">
      <alignment vertical="center"/>
      <protection/>
    </xf>
    <xf numFmtId="186" fontId="24" fillId="0" borderId="36" xfId="112" applyNumberFormat="1" applyFont="1" applyFill="1" applyBorder="1" applyAlignment="1" applyProtection="1">
      <alignment vertical="center"/>
      <protection/>
    </xf>
    <xf numFmtId="182" fontId="24" fillId="0" borderId="36" xfId="112" applyNumberFormat="1" applyFont="1" applyFill="1" applyBorder="1" applyAlignment="1" applyProtection="1">
      <alignment vertical="center"/>
      <protection/>
    </xf>
    <xf numFmtId="198" fontId="0" fillId="0" borderId="44" xfId="112" applyNumberFormat="1" applyFont="1" applyBorder="1" applyAlignment="1" applyProtection="1">
      <alignment horizontal="right" vertical="center"/>
      <protection/>
    </xf>
    <xf numFmtId="178" fontId="24" fillId="0" borderId="114" xfId="112" applyNumberFormat="1" applyFont="1" applyBorder="1" applyAlignment="1" applyProtection="1">
      <alignment horizontal="center" vertical="center"/>
      <protection/>
    </xf>
    <xf numFmtId="178" fontId="24" fillId="0" borderId="115" xfId="112" applyNumberFormat="1" applyFont="1" applyBorder="1" applyAlignment="1" applyProtection="1">
      <alignment horizontal="center" vertical="center"/>
      <protection/>
    </xf>
    <xf numFmtId="178" fontId="0" fillId="5" borderId="35" xfId="112" applyNumberFormat="1" applyFont="1" applyFill="1" applyBorder="1" applyAlignment="1" applyProtection="1">
      <alignment/>
      <protection locked="0"/>
    </xf>
    <xf numFmtId="180" fontId="0" fillId="0" borderId="0" xfId="112" applyNumberFormat="1" applyFont="1" applyFill="1" applyBorder="1" applyAlignment="1" applyProtection="1">
      <alignment vertical="center"/>
      <protection/>
    </xf>
    <xf numFmtId="182" fontId="24" fillId="0" borderId="33" xfId="112" applyFont="1" applyBorder="1" applyAlignment="1" applyProtection="1">
      <alignment horizontal="center" vertical="center"/>
      <protection/>
    </xf>
    <xf numFmtId="182" fontId="24" fillId="0" borderId="43" xfId="112" applyFont="1" applyBorder="1" applyAlignment="1" applyProtection="1">
      <alignment horizontal="center" vertical="center"/>
      <protection/>
    </xf>
    <xf numFmtId="182" fontId="0" fillId="0" borderId="44" xfId="112" applyFont="1" applyBorder="1" applyAlignment="1" applyProtection="1">
      <alignment horizontal="center" vertical="center"/>
      <protection/>
    </xf>
    <xf numFmtId="179" fontId="0" fillId="0" borderId="116" xfId="112" applyNumberFormat="1" applyFont="1" applyBorder="1" applyAlignment="1" applyProtection="1">
      <alignment vertical="center"/>
      <protection/>
    </xf>
    <xf numFmtId="179" fontId="0" fillId="0" borderId="117" xfId="112" applyNumberFormat="1" applyFont="1" applyBorder="1" applyAlignment="1" applyProtection="1">
      <alignment vertical="center"/>
      <protection/>
    </xf>
    <xf numFmtId="182" fontId="0" fillId="11" borderId="47" xfId="112" applyFont="1" applyFill="1" applyBorder="1" applyAlignment="1" applyProtection="1">
      <alignment vertical="center"/>
      <protection/>
    </xf>
    <xf numFmtId="182" fontId="0" fillId="11" borderId="48" xfId="112" applyFont="1" applyFill="1" applyBorder="1" applyAlignment="1" applyProtection="1">
      <alignment vertical="center"/>
      <protection/>
    </xf>
    <xf numFmtId="182" fontId="0" fillId="11" borderId="49" xfId="112" applyFont="1" applyFill="1" applyBorder="1" applyAlignment="1" applyProtection="1">
      <alignment vertical="center"/>
      <protection/>
    </xf>
    <xf numFmtId="182" fontId="0" fillId="11" borderId="28" xfId="112" applyFont="1" applyFill="1" applyBorder="1" applyAlignment="1" applyProtection="1">
      <alignment vertical="center"/>
      <protection/>
    </xf>
    <xf numFmtId="182" fontId="0" fillId="11" borderId="50" xfId="112" applyFont="1" applyFill="1" applyBorder="1" applyAlignment="1" applyProtection="1">
      <alignment vertical="center"/>
      <protection/>
    </xf>
    <xf numFmtId="182" fontId="0" fillId="11" borderId="51" xfId="112" applyFont="1" applyFill="1" applyBorder="1" applyAlignment="1" applyProtection="1">
      <alignment vertical="center"/>
      <protection/>
    </xf>
    <xf numFmtId="182" fontId="24" fillId="0" borderId="118" xfId="112" applyFont="1" applyBorder="1" applyAlignment="1" applyProtection="1">
      <alignment horizontal="centerContinuous" vertical="center"/>
      <protection/>
    </xf>
    <xf numFmtId="182" fontId="24" fillId="0" borderId="119" xfId="112" applyFont="1" applyBorder="1" applyAlignment="1" applyProtection="1">
      <alignment horizontal="centerContinuous" vertical="center"/>
      <protection/>
    </xf>
    <xf numFmtId="184" fontId="0" fillId="5" borderId="64" xfId="112" applyNumberFormat="1" applyFont="1" applyFill="1" applyBorder="1" applyAlignment="1" applyProtection="1">
      <alignment horizontal="centerContinuous" vertical="center"/>
      <protection locked="0"/>
    </xf>
    <xf numFmtId="184" fontId="0" fillId="5" borderId="42" xfId="112" applyNumberFormat="1" applyFont="1" applyFill="1" applyBorder="1" applyAlignment="1" applyProtection="1">
      <alignment horizontal="centerContinuous" vertical="center"/>
      <protection/>
    </xf>
    <xf numFmtId="184" fontId="0" fillId="5" borderId="58" xfId="112" applyNumberFormat="1" applyFont="1" applyFill="1" applyBorder="1" applyAlignment="1" applyProtection="1">
      <alignment horizontal="centerContinuous" vertical="center"/>
      <protection locked="0"/>
    </xf>
    <xf numFmtId="184" fontId="0" fillId="5" borderId="40" xfId="112" applyNumberFormat="1" applyFont="1" applyFill="1" applyBorder="1" applyAlignment="1" applyProtection="1">
      <alignment horizontal="centerContinuous" vertical="center"/>
      <protection/>
    </xf>
    <xf numFmtId="182" fontId="24" fillId="0" borderId="115" xfId="112" applyFont="1" applyBorder="1" applyAlignment="1" applyProtection="1">
      <alignment horizontal="centerContinuous" vertical="center"/>
      <protection/>
    </xf>
    <xf numFmtId="182" fontId="24" fillId="0" borderId="120" xfId="112" applyFont="1" applyBorder="1" applyAlignment="1" applyProtection="1">
      <alignment horizontal="centerContinuous" vertical="center"/>
      <protection/>
    </xf>
    <xf numFmtId="182" fontId="0" fillId="0" borderId="50" xfId="112" applyFont="1" applyBorder="1" applyAlignment="1" applyProtection="1">
      <alignment horizontal="centerContinuous" vertical="center"/>
      <protection/>
    </xf>
    <xf numFmtId="198" fontId="0" fillId="5" borderId="47" xfId="112" applyNumberFormat="1" applyFont="1" applyFill="1" applyBorder="1" applyAlignment="1" applyProtection="1">
      <alignment horizontal="centerContinuous" vertical="center"/>
      <protection locked="0"/>
    </xf>
    <xf numFmtId="198" fontId="0" fillId="5" borderId="48" xfId="112" applyNumberFormat="1" applyFont="1" applyFill="1" applyBorder="1" applyAlignment="1" applyProtection="1">
      <alignment horizontal="centerContinuous" vertical="center"/>
      <protection/>
    </xf>
    <xf numFmtId="198" fontId="0" fillId="5" borderId="58" xfId="112" applyNumberFormat="1" applyFont="1" applyFill="1" applyBorder="1" applyAlignment="1" applyProtection="1">
      <alignment horizontal="centerContinuous" vertical="center"/>
      <protection locked="0"/>
    </xf>
    <xf numFmtId="198" fontId="0" fillId="5" borderId="40" xfId="112" applyNumberFormat="1" applyFont="1" applyFill="1" applyBorder="1" applyAlignment="1" applyProtection="1">
      <alignment horizontal="centerContinuous" vertical="center"/>
      <protection/>
    </xf>
    <xf numFmtId="198" fontId="0" fillId="5" borderId="96" xfId="112" applyNumberFormat="1" applyFont="1" applyFill="1" applyBorder="1" applyAlignment="1" applyProtection="1">
      <alignment horizontal="centerContinuous" vertical="center"/>
      <protection locked="0"/>
    </xf>
    <xf numFmtId="198" fontId="0" fillId="5" borderId="98" xfId="112" applyNumberFormat="1" applyFont="1" applyFill="1" applyBorder="1" applyAlignment="1" applyProtection="1">
      <alignment horizontal="centerContinuous" vertical="center"/>
      <protection/>
    </xf>
    <xf numFmtId="0" fontId="0" fillId="0" borderId="0" xfId="0" applyFont="1" applyBorder="1" applyAlignment="1">
      <alignment vertical="center"/>
    </xf>
    <xf numFmtId="179" fontId="0" fillId="0" borderId="47" xfId="112" applyNumberFormat="1" applyFont="1" applyBorder="1" applyAlignment="1" applyProtection="1">
      <alignment horizontal="centerContinuous" vertical="center"/>
      <protection/>
    </xf>
    <xf numFmtId="179" fontId="0" fillId="0" borderId="48" xfId="112" applyNumberFormat="1" applyFont="1" applyBorder="1" applyAlignment="1" applyProtection="1">
      <alignment horizontal="centerContinuous" vertical="center"/>
      <protection/>
    </xf>
    <xf numFmtId="179" fontId="29" fillId="0" borderId="0" xfId="112" applyNumberFormat="1" applyFont="1" applyBorder="1" applyAlignment="1" applyProtection="1">
      <alignment vertical="center"/>
      <protection/>
    </xf>
    <xf numFmtId="179" fontId="0" fillId="0" borderId="49" xfId="112" applyNumberFormat="1" applyFont="1" applyBorder="1" applyAlignment="1" applyProtection="1">
      <alignment horizontal="centerContinuous" vertical="center"/>
      <protection/>
    </xf>
    <xf numFmtId="179" fontId="0" fillId="0" borderId="28" xfId="112" applyNumberFormat="1" applyFont="1" applyBorder="1" applyAlignment="1" applyProtection="1">
      <alignment horizontal="centerContinuous" vertical="center"/>
      <protection/>
    </xf>
    <xf numFmtId="182" fontId="0" fillId="0" borderId="49" xfId="112" applyFont="1" applyBorder="1" applyAlignment="1" applyProtection="1">
      <alignment horizontal="centerContinuous" vertical="center"/>
      <protection/>
    </xf>
    <xf numFmtId="182" fontId="0" fillId="0" borderId="28" xfId="112" applyFont="1" applyBorder="1" applyAlignment="1" applyProtection="1">
      <alignment horizontal="centerContinuous" vertical="center"/>
      <protection/>
    </xf>
    <xf numFmtId="1" fontId="50" fillId="0" borderId="0" xfId="112" applyNumberFormat="1" applyFont="1" applyFill="1" applyBorder="1" applyAlignment="1" applyProtection="1">
      <alignment horizontal="center" vertical="center"/>
      <protection/>
    </xf>
    <xf numFmtId="184" fontId="0" fillId="2" borderId="121" xfId="112" applyNumberFormat="1" applyFont="1" applyFill="1" applyBorder="1" applyAlignment="1">
      <alignment horizontal="center" vertical="center"/>
      <protection/>
    </xf>
    <xf numFmtId="181" fontId="0" fillId="4" borderId="121" xfId="112" applyNumberFormat="1" applyFont="1" applyFill="1" applyBorder="1" applyAlignment="1">
      <alignment horizontal="center" vertical="center"/>
      <protection/>
    </xf>
    <xf numFmtId="213" fontId="0" fillId="0" borderId="30" xfId="112" applyNumberFormat="1" applyFont="1" applyBorder="1" applyAlignment="1" applyProtection="1">
      <alignment vertical="center"/>
      <protection/>
    </xf>
    <xf numFmtId="213" fontId="0" fillId="0" borderId="15" xfId="112" applyNumberFormat="1" applyFont="1" applyFill="1" applyBorder="1" applyAlignment="1" applyProtection="1">
      <alignment vertical="center"/>
      <protection/>
    </xf>
    <xf numFmtId="213" fontId="0" fillId="0" borderId="35" xfId="112" applyNumberFormat="1" applyFont="1" applyBorder="1" applyAlignment="1" applyProtection="1">
      <alignment vertical="center"/>
      <protection/>
    </xf>
    <xf numFmtId="213" fontId="0" fillId="0" borderId="35" xfId="112" applyNumberFormat="1" applyFont="1" applyFill="1" applyBorder="1" applyAlignment="1" applyProtection="1">
      <alignment vertical="center"/>
      <protection/>
    </xf>
    <xf numFmtId="213" fontId="0" fillId="0" borderId="15" xfId="112" applyNumberFormat="1" applyFont="1" applyBorder="1" applyAlignment="1" applyProtection="1">
      <alignment vertical="center"/>
      <protection/>
    </xf>
    <xf numFmtId="214" fontId="0" fillId="0" borderId="30" xfId="112" applyNumberFormat="1" applyFont="1" applyBorder="1" applyAlignment="1" applyProtection="1">
      <alignment vertical="center"/>
      <protection/>
    </xf>
    <xf numFmtId="214" fontId="0" fillId="0" borderId="15" xfId="112" applyNumberFormat="1" applyFont="1" applyBorder="1" applyAlignment="1" applyProtection="1">
      <alignment vertical="center"/>
      <protection/>
    </xf>
    <xf numFmtId="214" fontId="0" fillId="0" borderId="35" xfId="112" applyNumberFormat="1" applyFont="1" applyBorder="1" applyAlignment="1" applyProtection="1">
      <alignment vertical="center"/>
      <protection/>
    </xf>
    <xf numFmtId="215" fontId="0" fillId="0" borderId="30" xfId="112" applyNumberFormat="1" applyFont="1" applyBorder="1" applyAlignment="1" applyProtection="1">
      <alignment vertical="center"/>
      <protection/>
    </xf>
    <xf numFmtId="217" fontId="24" fillId="0" borderId="25" xfId="112" applyNumberFormat="1" applyFont="1" applyBorder="1" applyAlignment="1" applyProtection="1">
      <alignment horizontal="center" vertical="center"/>
      <protection/>
    </xf>
    <xf numFmtId="218" fontId="0" fillId="0" borderId="30" xfId="112" applyNumberFormat="1" applyFont="1" applyBorder="1" applyAlignment="1" applyProtection="1">
      <alignment vertical="center"/>
      <protection/>
    </xf>
    <xf numFmtId="218" fontId="0" fillId="0" borderId="35" xfId="112" applyNumberFormat="1" applyFont="1" applyBorder="1" applyAlignment="1" applyProtection="1">
      <alignment vertical="center"/>
      <protection/>
    </xf>
    <xf numFmtId="215" fontId="0" fillId="0" borderId="27" xfId="112" applyNumberFormat="1" applyFont="1" applyBorder="1" applyAlignment="1" applyProtection="1">
      <alignment vertical="center"/>
      <protection/>
    </xf>
    <xf numFmtId="215" fontId="0" fillId="0" borderId="16" xfId="112" applyNumberFormat="1" applyFont="1" applyBorder="1" applyAlignment="1" applyProtection="1">
      <alignment vertical="center"/>
      <protection/>
    </xf>
    <xf numFmtId="215" fontId="0" fillId="0" borderId="15" xfId="112" applyNumberFormat="1" applyFont="1" applyBorder="1" applyAlignment="1" applyProtection="1">
      <alignment vertical="center"/>
      <protection/>
    </xf>
    <xf numFmtId="215" fontId="0" fillId="0" borderId="35" xfId="112" applyNumberFormat="1" applyFont="1" applyBorder="1" applyAlignment="1" applyProtection="1">
      <alignment vertical="center"/>
      <protection/>
    </xf>
    <xf numFmtId="215" fontId="0" fillId="0" borderId="17" xfId="112" applyNumberFormat="1" applyFont="1" applyBorder="1" applyAlignment="1" applyProtection="1">
      <alignment horizontal="right" vertical="center"/>
      <protection/>
    </xf>
    <xf numFmtId="215" fontId="0" fillId="0" borderId="17" xfId="112" applyNumberFormat="1" applyFont="1" applyBorder="1" applyAlignment="1" applyProtection="1">
      <alignment horizontal="right" vertical="center"/>
      <protection/>
    </xf>
    <xf numFmtId="215" fontId="0" fillId="0" borderId="14" xfId="112" applyNumberFormat="1" applyFont="1" applyBorder="1" applyAlignment="1" applyProtection="1">
      <alignment vertical="center"/>
      <protection/>
    </xf>
    <xf numFmtId="215" fontId="0" fillId="0" borderId="122" xfId="112" applyNumberFormat="1" applyFont="1" applyBorder="1" applyAlignment="1" applyProtection="1">
      <alignment vertical="center"/>
      <protection/>
    </xf>
    <xf numFmtId="215" fontId="0" fillId="0" borderId="34" xfId="112" applyNumberFormat="1" applyFont="1" applyBorder="1" applyAlignment="1" applyProtection="1">
      <alignment vertical="center"/>
      <protection/>
    </xf>
    <xf numFmtId="219" fontId="0" fillId="0" borderId="17" xfId="112" applyNumberFormat="1" applyFont="1" applyBorder="1" applyAlignment="1" applyProtection="1">
      <alignment vertical="center"/>
      <protection/>
    </xf>
    <xf numFmtId="215" fontId="0" fillId="0" borderId="17" xfId="112" applyNumberFormat="1" applyFont="1" applyBorder="1" applyAlignment="1" applyProtection="1">
      <alignment vertical="center"/>
      <protection/>
    </xf>
    <xf numFmtId="215" fontId="0" fillId="0" borderId="21" xfId="112" applyNumberFormat="1" applyFont="1" applyBorder="1" applyAlignment="1" applyProtection="1">
      <alignment vertical="center"/>
      <protection/>
    </xf>
    <xf numFmtId="215" fontId="0" fillId="0" borderId="33" xfId="112" applyNumberFormat="1" applyFont="1" applyBorder="1" applyAlignment="1" applyProtection="1">
      <alignment vertical="center"/>
      <protection/>
    </xf>
    <xf numFmtId="215" fontId="0" fillId="0" borderId="23" xfId="112" applyNumberFormat="1" applyFont="1" applyBorder="1" applyAlignment="1" applyProtection="1">
      <alignment vertical="center"/>
      <protection/>
    </xf>
    <xf numFmtId="215" fontId="0" fillId="0" borderId="32" xfId="112" applyNumberFormat="1" applyFont="1" applyBorder="1" applyAlignment="1" applyProtection="1">
      <alignment vertical="center"/>
      <protection/>
    </xf>
    <xf numFmtId="215" fontId="0" fillId="0" borderId="17" xfId="112" applyNumberFormat="1" applyFont="1" applyBorder="1" applyAlignment="1" applyProtection="1">
      <alignment horizontal="center" vertical="center"/>
      <protection/>
    </xf>
    <xf numFmtId="215" fontId="0" fillId="0" borderId="44" xfId="112" applyNumberFormat="1" applyFont="1" applyBorder="1" applyAlignment="1" applyProtection="1">
      <alignment vertical="center"/>
      <protection/>
    </xf>
    <xf numFmtId="215" fontId="0" fillId="0" borderId="28" xfId="112" applyNumberFormat="1" applyFont="1" applyBorder="1" applyAlignment="1" applyProtection="1">
      <alignment vertical="center"/>
      <protection/>
    </xf>
    <xf numFmtId="215" fontId="0" fillId="0" borderId="25" xfId="112" applyNumberFormat="1" applyFont="1" applyBorder="1" applyAlignment="1" applyProtection="1">
      <alignment vertical="center"/>
      <protection/>
    </xf>
    <xf numFmtId="215" fontId="0" fillId="0" borderId="123" xfId="112" applyNumberFormat="1" applyFont="1" applyBorder="1" applyAlignment="1" applyProtection="1">
      <alignment vertical="center"/>
      <protection/>
    </xf>
    <xf numFmtId="215" fontId="0" fillId="0" borderId="43" xfId="112" applyNumberFormat="1" applyFont="1" applyBorder="1" applyAlignment="1" applyProtection="1">
      <alignment vertical="center"/>
      <protection/>
    </xf>
    <xf numFmtId="1" fontId="44" fillId="0" borderId="0" xfId="112" applyNumberFormat="1" applyFont="1" applyFill="1" applyBorder="1" applyAlignment="1" applyProtection="1">
      <alignment horizontal="left" vertical="center"/>
      <protection/>
    </xf>
    <xf numFmtId="182" fontId="44" fillId="0" borderId="0" xfId="112" applyFont="1" applyAlignment="1" applyProtection="1">
      <alignment vertical="center"/>
      <protection/>
    </xf>
    <xf numFmtId="1" fontId="0" fillId="0" borderId="107" xfId="112" applyNumberFormat="1" applyFont="1" applyBorder="1" applyAlignment="1" applyProtection="1">
      <alignment horizontal="left" vertical="center"/>
      <protection/>
    </xf>
    <xf numFmtId="182" fontId="47" fillId="11" borderId="43" xfId="112" applyFont="1" applyFill="1" applyBorder="1" applyAlignment="1" applyProtection="1">
      <alignment vertical="center"/>
      <protection/>
    </xf>
    <xf numFmtId="182" fontId="47" fillId="11" borderId="44" xfId="112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7" borderId="59" xfId="0" applyFont="1" applyFill="1" applyBorder="1" applyAlignment="1" applyProtection="1">
      <alignment horizontal="left"/>
      <protection locked="0"/>
    </xf>
    <xf numFmtId="195" fontId="0" fillId="7" borderId="59" xfId="0" applyNumberFormat="1" applyFont="1" applyFill="1" applyBorder="1" applyAlignment="1" applyProtection="1">
      <alignment horizontal="left"/>
      <protection locked="0"/>
    </xf>
    <xf numFmtId="0" fontId="0" fillId="7" borderId="96" xfId="112" applyNumberFormat="1" applyFont="1" applyFill="1" applyBorder="1" applyAlignment="1" applyProtection="1">
      <alignment vertical="center"/>
      <protection locked="0"/>
    </xf>
    <xf numFmtId="0" fontId="0" fillId="0" borderId="97" xfId="0" applyBorder="1" applyAlignment="1">
      <alignment vertical="center"/>
    </xf>
    <xf numFmtId="0" fontId="0" fillId="0" borderId="124" xfId="0" applyBorder="1" applyAlignment="1">
      <alignment vertical="center"/>
    </xf>
    <xf numFmtId="0" fontId="0" fillId="0" borderId="58" xfId="112" applyNumberFormat="1" applyFont="1" applyFill="1" applyBorder="1" applyAlignment="1" applyProtection="1">
      <alignment vertical="center"/>
      <protection/>
    </xf>
    <xf numFmtId="0" fontId="0" fillId="0" borderId="59" xfId="0" applyFill="1" applyBorder="1" applyAlignment="1" applyProtection="1">
      <alignment vertical="center"/>
      <protection/>
    </xf>
    <xf numFmtId="0" fontId="0" fillId="0" borderId="60" xfId="0" applyFill="1" applyBorder="1" applyAlignment="1" applyProtection="1">
      <alignment vertical="center"/>
      <protection/>
    </xf>
    <xf numFmtId="0" fontId="0" fillId="7" borderId="58" xfId="112" applyNumberFormat="1" applyFont="1" applyFill="1" applyBorder="1" applyAlignment="1" applyProtection="1">
      <alignment vertical="center"/>
      <protection locked="0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7" borderId="97" xfId="112" applyNumberFormat="1" applyFont="1" applyFill="1" applyBorder="1" applyAlignment="1" applyProtection="1">
      <alignment vertical="center"/>
      <protection locked="0"/>
    </xf>
    <xf numFmtId="0" fontId="0" fillId="7" borderId="124" xfId="112" applyNumberFormat="1" applyFont="1" applyFill="1" applyBorder="1" applyAlignment="1" applyProtection="1">
      <alignment vertical="center"/>
      <protection locked="0"/>
    </xf>
    <xf numFmtId="0" fontId="0" fillId="0" borderId="64" xfId="112" applyNumberFormat="1" applyFont="1" applyFill="1" applyBorder="1" applyAlignment="1" applyProtection="1">
      <alignment vertical="center"/>
      <protection/>
    </xf>
    <xf numFmtId="0" fontId="0" fillId="0" borderId="65" xfId="0" applyFill="1" applyBorder="1" applyAlignment="1" applyProtection="1">
      <alignment vertical="center"/>
      <protection/>
    </xf>
    <xf numFmtId="0" fontId="0" fillId="0" borderId="57" xfId="0" applyFill="1" applyBorder="1" applyAlignment="1" applyProtection="1">
      <alignment vertical="center"/>
      <protection/>
    </xf>
    <xf numFmtId="0" fontId="0" fillId="7" borderId="59" xfId="112" applyNumberFormat="1" applyFont="1" applyFill="1" applyBorder="1" applyAlignment="1" applyProtection="1">
      <alignment vertical="center"/>
      <protection locked="0"/>
    </xf>
    <xf numFmtId="0" fontId="0" fillId="7" borderId="60" xfId="112" applyNumberFormat="1" applyFont="1" applyFill="1" applyBorder="1" applyAlignment="1" applyProtection="1">
      <alignment vertical="center"/>
      <protection locked="0"/>
    </xf>
    <xf numFmtId="182" fontId="33" fillId="0" borderId="0" xfId="112" applyFont="1" applyAlignment="1" applyProtection="1">
      <alignment horizontal="left"/>
      <protection/>
    </xf>
    <xf numFmtId="182" fontId="0" fillId="0" borderId="0" xfId="112" applyFont="1" applyAlignment="1" applyProtection="1">
      <alignment horizontal="left"/>
      <protection/>
    </xf>
    <xf numFmtId="182" fontId="0" fillId="0" borderId="0" xfId="112" applyFont="1" applyAlignment="1" applyProtection="1">
      <alignment/>
      <protection/>
    </xf>
    <xf numFmtId="49" fontId="33" fillId="4" borderId="0" xfId="112" applyNumberFormat="1" applyFont="1" applyFill="1" applyBorder="1" applyAlignment="1" applyProtection="1">
      <alignment vertical="center"/>
      <protection/>
    </xf>
    <xf numFmtId="49" fontId="33" fillId="4" borderId="0" xfId="112" applyNumberFormat="1" applyFont="1" applyFill="1" applyAlignment="1" applyProtection="1">
      <alignment vertical="center"/>
      <protection/>
    </xf>
    <xf numFmtId="182" fontId="24" fillId="0" borderId="22" xfId="112" applyFont="1" applyBorder="1" applyAlignment="1">
      <alignment horizontal="center"/>
      <protection/>
    </xf>
    <xf numFmtId="182" fontId="24" fillId="0" borderId="46" xfId="112" applyFont="1" applyBorder="1" applyAlignment="1">
      <alignment horizontal="center"/>
      <protection/>
    </xf>
    <xf numFmtId="182" fontId="24" fillId="0" borderId="24" xfId="112" applyFont="1" applyBorder="1" applyAlignment="1">
      <alignment horizontal="center"/>
      <protection/>
    </xf>
    <xf numFmtId="182" fontId="0" fillId="0" borderId="20" xfId="112" applyFont="1" applyBorder="1" applyAlignment="1">
      <alignment horizontal="center"/>
      <protection/>
    </xf>
  </cellXfs>
  <cellStyles count="11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 % - Accent1" xfId="21"/>
    <cellStyle name="20 % - Accent2" xfId="22"/>
    <cellStyle name="20 % - Accent3" xfId="23"/>
    <cellStyle name="20 % - Accent4" xfId="24"/>
    <cellStyle name="20 % - Accent5" xfId="25"/>
    <cellStyle name="20 % - Accent6" xfId="26"/>
    <cellStyle name="20% - Akzent1" xfId="27"/>
    <cellStyle name="20% - Akzent2" xfId="28"/>
    <cellStyle name="20% - Akzent3" xfId="29"/>
    <cellStyle name="20% - Akzent4" xfId="30"/>
    <cellStyle name="20% - Akzent5" xfId="31"/>
    <cellStyle name="20% - Akzent6" xfId="32"/>
    <cellStyle name="40 % - Akzent1" xfId="33"/>
    <cellStyle name="40 % - Akzent2" xfId="34"/>
    <cellStyle name="40 % - Akzent3" xfId="35"/>
    <cellStyle name="40 % - Akzent4" xfId="36"/>
    <cellStyle name="40 % - Akzent5" xfId="37"/>
    <cellStyle name="40 % - Akzent6" xfId="38"/>
    <cellStyle name="40 % - Accent1" xfId="39"/>
    <cellStyle name="40 % - Accent2" xfId="40"/>
    <cellStyle name="40 % - Accent3" xfId="41"/>
    <cellStyle name="40 % - Accent4" xfId="42"/>
    <cellStyle name="40 % - Accent5" xfId="43"/>
    <cellStyle name="40 % - Accent6" xfId="44"/>
    <cellStyle name="40% - Akzent1" xfId="45"/>
    <cellStyle name="40% - Akzent2" xfId="46"/>
    <cellStyle name="40% - Akzent3" xfId="47"/>
    <cellStyle name="40% - Akzent4" xfId="48"/>
    <cellStyle name="40% - Akzent5" xfId="49"/>
    <cellStyle name="40% - Akzent6" xfId="50"/>
    <cellStyle name="60 % - Akzent1" xfId="51"/>
    <cellStyle name="60 % - Akzent2" xfId="52"/>
    <cellStyle name="60 % - Akzent3" xfId="53"/>
    <cellStyle name="60 % - Akzent4" xfId="54"/>
    <cellStyle name="60 % - Akzent5" xfId="55"/>
    <cellStyle name="60 % - Akzent6" xfId="56"/>
    <cellStyle name="60 % - Accent1" xfId="57"/>
    <cellStyle name="60 % - Accent2" xfId="58"/>
    <cellStyle name="60 % - Accent3" xfId="59"/>
    <cellStyle name="60 % - Accent4" xfId="60"/>
    <cellStyle name="60 % - Accent5" xfId="61"/>
    <cellStyle name="60 % - Accent6" xfId="62"/>
    <cellStyle name="60% - Akzent1" xfId="63"/>
    <cellStyle name="60% - Akzent2" xfId="64"/>
    <cellStyle name="60% - Akzent3" xfId="65"/>
    <cellStyle name="60% - Akzent4" xfId="66"/>
    <cellStyle name="60% - Akzent5" xfId="67"/>
    <cellStyle name="60% - Akz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kzent1" xfId="75"/>
    <cellStyle name="Akzent2" xfId="76"/>
    <cellStyle name="Akzent3" xfId="77"/>
    <cellStyle name="Akzent4" xfId="78"/>
    <cellStyle name="Akzent5" xfId="79"/>
    <cellStyle name="Akzent6" xfId="80"/>
    <cellStyle name="Ausgabe" xfId="81"/>
    <cellStyle name="Avertissement" xfId="82"/>
    <cellStyle name="Berechnung" xfId="83"/>
    <cellStyle name="Followed Hyperlink" xfId="84"/>
    <cellStyle name="Calcul" xfId="85"/>
    <cellStyle name="Cellule liée" xfId="86"/>
    <cellStyle name="Commentaire" xfId="87"/>
    <cellStyle name="dbkatalog" xfId="88"/>
    <cellStyle name="DB-Katalog" xfId="89"/>
    <cellStyle name="Comma" xfId="90"/>
    <cellStyle name="Comma [0]" xfId="91"/>
    <cellStyle name="Eingabe" xfId="92"/>
    <cellStyle name="Entrée" xfId="93"/>
    <cellStyle name="Ergebnis" xfId="94"/>
    <cellStyle name="Erklärender Text" xfId="95"/>
    <cellStyle name="Gut" xfId="96"/>
    <cellStyle name="Hyperlink" xfId="97"/>
    <cellStyle name="Insatisfaisant" xfId="98"/>
    <cellStyle name="Lien hypertexte" xfId="99"/>
    <cellStyle name="Lien hypertexte visité" xfId="100"/>
    <cellStyle name="Lien hypertexte_Texte" xfId="101"/>
    <cellStyle name="Neutral" xfId="102"/>
    <cellStyle name="Neutre" xfId="103"/>
    <cellStyle name="Normal 2" xfId="104"/>
    <cellStyle name="Normal 3" xfId="105"/>
    <cellStyle name="Normal_AAdossier03" xfId="106"/>
    <cellStyle name="Notiz" xfId="107"/>
    <cellStyle name="Percent" xfId="108"/>
    <cellStyle name="Satisfaisant" xfId="109"/>
    <cellStyle name="Schlecht" xfId="110"/>
    <cellStyle name="Sortie" xfId="111"/>
    <cellStyle name="Standard_Suisse-Bilanz 20131" xfId="112"/>
    <cellStyle name="Texte explicatif" xfId="113"/>
    <cellStyle name="Titre" xfId="114"/>
    <cellStyle name="Titre 1" xfId="115"/>
    <cellStyle name="Titre 2" xfId="116"/>
    <cellStyle name="Titre 3" xfId="117"/>
    <cellStyle name="Titre 4" xfId="118"/>
    <cellStyle name="Titre_Texte" xfId="119"/>
    <cellStyle name="Total" xfId="120"/>
    <cellStyle name="Überschrift" xfId="121"/>
    <cellStyle name="Überschrift 1" xfId="122"/>
    <cellStyle name="Überschrift 2" xfId="123"/>
    <cellStyle name="Überschrift 3" xfId="124"/>
    <cellStyle name="Überschrift 4" xfId="125"/>
    <cellStyle name="Überschrift_Texte" xfId="126"/>
    <cellStyle name="Vérification" xfId="127"/>
    <cellStyle name="Verknüpfte Zelle" xfId="128"/>
    <cellStyle name="Currency" xfId="129"/>
    <cellStyle name="Currency [0]" xfId="130"/>
    <cellStyle name="Warnender Text" xfId="131"/>
    <cellStyle name="Zelle überprüfen" xfId="132"/>
  </cellStyles>
  <dxfs count="6">
    <dxf>
      <font>
        <b/>
        <i val="0"/>
        <color rgb="FFFF0000"/>
      </font>
      <border/>
    </dxf>
    <dxf>
      <fill>
        <patternFill>
          <bgColor rgb="FFFF6600"/>
        </patternFill>
      </fill>
      <border/>
    </dxf>
    <dxf>
      <fill>
        <patternFill>
          <bgColor rgb="FF99CC00"/>
        </patternFill>
      </fill>
      <border/>
    </dxf>
    <dxf>
      <font>
        <b/>
        <i val="0"/>
        <color rgb="FFFF0000"/>
      </font>
      <fill>
        <patternFill patternType="solid">
          <bgColor rgb="FFFFFFCC"/>
        </patternFill>
      </fill>
      <border/>
    </dxf>
    <dxf>
      <font>
        <color rgb="FFFF0000"/>
      </font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57150</xdr:rowOff>
    </xdr:from>
    <xdr:to>
      <xdr:col>1</xdr:col>
      <xdr:colOff>1447800</xdr:colOff>
      <xdr:row>1</xdr:row>
      <xdr:rowOff>219075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5715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24</xdr:col>
      <xdr:colOff>438150</xdr:colOff>
      <xdr:row>48</xdr:row>
      <xdr:rowOff>47625</xdr:rowOff>
    </xdr:from>
    <xdr:to>
      <xdr:col>31</xdr:col>
      <xdr:colOff>742950</xdr:colOff>
      <xdr:row>93</xdr:row>
      <xdr:rowOff>142875</xdr:rowOff>
    </xdr:to>
    <xdr:pic>
      <xdr:nvPicPr>
        <xdr:cNvPr id="2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173075" y="8153400"/>
          <a:ext cx="5638800" cy="7381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523875</xdr:colOff>
      <xdr:row>48</xdr:row>
      <xdr:rowOff>0</xdr:rowOff>
    </xdr:from>
    <xdr:to>
      <xdr:col>23</xdr:col>
      <xdr:colOff>123825</xdr:colOff>
      <xdr:row>94</xdr:row>
      <xdr:rowOff>104775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8105775"/>
          <a:ext cx="5838825" cy="7553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24</xdr:col>
      <xdr:colOff>495300</xdr:colOff>
      <xdr:row>0</xdr:row>
      <xdr:rowOff>0</xdr:rowOff>
    </xdr:from>
    <xdr:to>
      <xdr:col>33</xdr:col>
      <xdr:colOff>400050</xdr:colOff>
      <xdr:row>48</xdr:row>
      <xdr:rowOff>57150</xdr:rowOff>
    </xdr:to>
    <xdr:pic>
      <xdr:nvPicPr>
        <xdr:cNvPr id="4" name="Picture 64"/>
        <xdr:cNvPicPr preferRelativeResize="1">
          <a:picLocks noChangeAspect="1"/>
        </xdr:cNvPicPr>
      </xdr:nvPicPr>
      <xdr:blipFill>
        <a:blip r:embed="rId4"/>
        <a:srcRect r="520"/>
        <a:stretch>
          <a:fillRect/>
        </a:stretch>
      </xdr:blipFill>
      <xdr:spPr>
        <a:xfrm>
          <a:off x="13230225" y="0"/>
          <a:ext cx="6762750" cy="8162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7</xdr:col>
      <xdr:colOff>19050</xdr:colOff>
      <xdr:row>0</xdr:row>
      <xdr:rowOff>66675</xdr:rowOff>
    </xdr:from>
    <xdr:to>
      <xdr:col>24</xdr:col>
      <xdr:colOff>95250</xdr:colOff>
      <xdr:row>47</xdr:row>
      <xdr:rowOff>95250</xdr:rowOff>
    </xdr:to>
    <xdr:pic>
      <xdr:nvPicPr>
        <xdr:cNvPr id="5" name="Picture 66"/>
        <xdr:cNvPicPr preferRelativeResize="1">
          <a:picLocks noChangeAspect="1"/>
        </xdr:cNvPicPr>
      </xdr:nvPicPr>
      <xdr:blipFill>
        <a:blip r:embed="rId5"/>
        <a:srcRect t="433" b="1300"/>
        <a:stretch>
          <a:fillRect/>
        </a:stretch>
      </xdr:blipFill>
      <xdr:spPr>
        <a:xfrm>
          <a:off x="6076950" y="66675"/>
          <a:ext cx="6753225" cy="797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0</xdr:colOff>
      <xdr:row>143</xdr:row>
      <xdr:rowOff>123825</xdr:rowOff>
    </xdr:from>
    <xdr:ext cx="66675" cy="266700"/>
    <xdr:sp>
      <xdr:nvSpPr>
        <xdr:cNvPr id="1" name="ZoneTexte 3"/>
        <xdr:cNvSpPr txBox="1">
          <a:spLocks noChangeArrowheads="1"/>
        </xdr:cNvSpPr>
      </xdr:nvSpPr>
      <xdr:spPr>
        <a:xfrm>
          <a:off x="12001500" y="23736300"/>
          <a:ext cx="666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absolute">
    <xdr:from>
      <xdr:col>13</xdr:col>
      <xdr:colOff>447675</xdr:colOff>
      <xdr:row>92</xdr:row>
      <xdr:rowOff>104775</xdr:rowOff>
    </xdr:from>
    <xdr:to>
      <xdr:col>18</xdr:col>
      <xdr:colOff>619125</xdr:colOff>
      <xdr:row>181</xdr:row>
      <xdr:rowOff>76200</xdr:rowOff>
    </xdr:to>
    <xdr:sp>
      <xdr:nvSpPr>
        <xdr:cNvPr id="2" name="recVorhang"/>
        <xdr:cNvSpPr>
          <a:spLocks/>
        </xdr:cNvSpPr>
      </xdr:nvSpPr>
      <xdr:spPr>
        <a:xfrm>
          <a:off x="7934325" y="15544800"/>
          <a:ext cx="3952875" cy="13839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19050</xdr:rowOff>
    </xdr:from>
    <xdr:to>
      <xdr:col>2</xdr:col>
      <xdr:colOff>247650</xdr:colOff>
      <xdr:row>2</xdr:row>
      <xdr:rowOff>180975</xdr:rowOff>
    </xdr:to>
    <xdr:pic>
      <xdr:nvPicPr>
        <xdr:cNvPr id="3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76200</xdr:rowOff>
    </xdr:from>
    <xdr:to>
      <xdr:col>2</xdr:col>
      <xdr:colOff>219075</xdr:colOff>
      <xdr:row>2</xdr:row>
      <xdr:rowOff>238125</xdr:rowOff>
    </xdr:to>
    <xdr:pic>
      <xdr:nvPicPr>
        <xdr:cNvPr id="1" name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90500"/>
          <a:ext cx="1428750" cy="4286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O50"/>
  <sheetViews>
    <sheetView showGridLines="0" showRowColHeaders="0" showZeros="0" tabSelected="1" workbookViewId="0" topLeftCell="A1">
      <selection activeCell="C9" sqref="C9"/>
    </sheetView>
  </sheetViews>
  <sheetFormatPr defaultColWidth="11.421875" defaultRowHeight="12.75" outlineLevelRow="12"/>
  <cols>
    <col min="1" max="1" width="1.7109375" style="140" customWidth="1"/>
    <col min="2" max="2" width="22.8515625" style="140" customWidth="1"/>
    <col min="3" max="3" width="14.57421875" style="140" customWidth="1"/>
    <col min="4" max="4" width="29.28125" style="140" customWidth="1"/>
    <col min="5" max="5" width="6.8515625" style="140" customWidth="1"/>
    <col min="6" max="6" width="4.28125" style="140" customWidth="1"/>
    <col min="7" max="7" width="11.28125" style="140" customWidth="1"/>
    <col min="8" max="8" width="0.85546875" style="140" customWidth="1"/>
    <col min="9" max="9" width="6.8515625" style="140" hidden="1" customWidth="1"/>
    <col min="10" max="15" width="0" style="140" hidden="1" customWidth="1"/>
    <col min="16" max="21" width="11.421875" style="140" customWidth="1"/>
    <col min="22" max="22" width="13.57421875" style="140" customWidth="1"/>
    <col min="23" max="23" width="11.421875" style="140" customWidth="1"/>
    <col min="24" max="24" width="5.7109375" style="140" customWidth="1"/>
    <col min="25" max="16384" width="11.421875" style="140" customWidth="1"/>
  </cols>
  <sheetData>
    <row r="1" spans="7:12" ht="21" customHeight="1">
      <c r="G1" s="95" t="str">
        <f>Texte!A6</f>
        <v>version: 1.4</v>
      </c>
      <c r="L1" s="486" t="s">
        <v>381</v>
      </c>
    </row>
    <row r="2" spans="1:8" ht="21" customHeight="1">
      <c r="A2" s="8"/>
      <c r="B2" s="7"/>
      <c r="C2" s="141" t="str">
        <f>Texte!A4</f>
        <v>Conseils d'utilisation</v>
      </c>
      <c r="G2" s="94" t="str">
        <f>Texte!A5</f>
        <v>PLVH</v>
      </c>
      <c r="H2" s="8"/>
    </row>
    <row r="3" spans="1:8" ht="7.5" customHeight="1" thickBot="1">
      <c r="A3" s="8"/>
      <c r="B3" s="9"/>
      <c r="C3" s="9"/>
      <c r="D3" s="9"/>
      <c r="E3" s="9"/>
      <c r="F3" s="9"/>
      <c r="G3" s="9"/>
      <c r="H3" s="8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9" ht="12.75">
      <c r="A5" s="8"/>
      <c r="B5" s="8" t="s">
        <v>1179</v>
      </c>
      <c r="C5" s="8"/>
      <c r="D5" s="8"/>
      <c r="E5" s="8"/>
      <c r="F5" s="8"/>
      <c r="G5" s="8"/>
      <c r="H5" s="8"/>
      <c r="I5" s="8"/>
    </row>
    <row r="6" spans="1:15" ht="12.75" customHeight="1">
      <c r="A6" s="8"/>
      <c r="B6" s="8" t="s">
        <v>1181</v>
      </c>
      <c r="D6" s="10"/>
      <c r="E6" s="10"/>
      <c r="F6" s="10"/>
      <c r="G6" s="11"/>
      <c r="H6" s="12"/>
      <c r="N6" s="142" t="s">
        <v>124</v>
      </c>
      <c r="O6" s="142"/>
    </row>
    <row r="7" spans="1:15" ht="12.75" customHeight="1">
      <c r="A7" s="8"/>
      <c r="B7" s="8" t="s">
        <v>1180</v>
      </c>
      <c r="D7" s="10"/>
      <c r="E7" s="10"/>
      <c r="F7" s="10"/>
      <c r="G7" s="11"/>
      <c r="H7" s="12"/>
      <c r="N7" s="142"/>
      <c r="O7" s="142"/>
    </row>
    <row r="8" spans="1:15" ht="10.5" customHeight="1">
      <c r="A8" s="8"/>
      <c r="B8" s="8"/>
      <c r="C8" s="8"/>
      <c r="D8" s="8"/>
      <c r="E8" s="8"/>
      <c r="F8" s="8"/>
      <c r="G8" s="8"/>
      <c r="H8" s="8"/>
      <c r="N8" s="142"/>
      <c r="O8" s="142"/>
    </row>
    <row r="9" spans="1:15" ht="18.75">
      <c r="A9" s="8"/>
      <c r="B9" s="69" t="str">
        <f>Texte!A9</f>
        <v>Langue:</v>
      </c>
      <c r="C9" s="476" t="s">
        <v>122</v>
      </c>
      <c r="F9" s="8"/>
      <c r="G9" s="11"/>
      <c r="H9" s="12"/>
      <c r="N9" s="142" t="s">
        <v>121</v>
      </c>
      <c r="O9" s="142">
        <v>1</v>
      </c>
    </row>
    <row r="10" spans="1:15" ht="18.75">
      <c r="A10" s="8"/>
      <c r="B10" s="8"/>
      <c r="C10" s="8"/>
      <c r="D10" s="8"/>
      <c r="E10" s="8"/>
      <c r="F10" s="8"/>
      <c r="G10" s="11"/>
      <c r="H10" s="12"/>
      <c r="N10" s="142" t="s">
        <v>122</v>
      </c>
      <c r="O10" s="142">
        <v>2</v>
      </c>
    </row>
    <row r="11" spans="2:15" ht="15.75">
      <c r="B11" s="143" t="str">
        <f>Texte!A10</f>
        <v>Conseils d'utilisation</v>
      </c>
      <c r="C11" s="143"/>
      <c r="N11" s="142" t="s">
        <v>123</v>
      </c>
      <c r="O11" s="142">
        <v>3</v>
      </c>
    </row>
    <row r="12" spans="2:3" ht="12.75">
      <c r="B12" s="72" t="str">
        <f>Texte!A11</f>
        <v>Cases vertes:</v>
      </c>
      <c r="C12" s="140" t="str">
        <f>Texte!A14</f>
        <v>listes déroulantes </v>
      </c>
    </row>
    <row r="13" spans="2:3" ht="12.75">
      <c r="B13" s="73" t="str">
        <f>Texte!A12</f>
        <v>Cases jaunes:</v>
      </c>
      <c r="C13" s="140" t="str">
        <f>Texte!A15</f>
        <v>saisie des données</v>
      </c>
    </row>
    <row r="14" spans="2:3" ht="12.75">
      <c r="B14" s="74" t="str">
        <f>Texte!A13</f>
        <v>Cases blanches:</v>
      </c>
      <c r="C14" s="140" t="str">
        <f>Texte!A16</f>
        <v>cases bloquées à la saisie</v>
      </c>
    </row>
    <row r="15" ht="12.75"/>
    <row r="16" spans="2:3" ht="15.75">
      <c r="B16" s="143" t="str">
        <f>Texte!A17</f>
        <v>Marche à suivre:</v>
      </c>
      <c r="C16" s="143"/>
    </row>
    <row r="17" spans="2:3" ht="18" customHeight="1">
      <c r="B17" s="162" t="str">
        <f>Texte!A18</f>
        <v>Principe: Il faut une correspondance avec le Suisse-Bilanz.</v>
      </c>
      <c r="C17" s="144"/>
    </row>
    <row r="18" ht="6.75" customHeight="1"/>
    <row r="19" ht="12.75">
      <c r="B19" s="160" t="str">
        <f>Texte!A19</f>
        <v>1. Saisir les indications d'exploitation, en particulier la région</v>
      </c>
    </row>
    <row r="20" ht="12.75">
      <c r="B20" s="160" t="str">
        <f>Texte!A20</f>
        <v>2. Partie A: Consommation de fourrages et de concentrés</v>
      </c>
    </row>
    <row r="21" ht="12.75">
      <c r="B21" s="567" t="str">
        <f>Texte!A21</f>
        <v>    - Saisir tous les animaux consommant des fourrages</v>
      </c>
    </row>
    <row r="22" ht="12.75">
      <c r="B22" s="567" t="str">
        <f>Texte!A22</f>
        <v>    - Saisir la consommation total des concentrés par catégorie d'animaux</v>
      </c>
    </row>
    <row r="23" ht="12.75">
      <c r="B23" s="567" t="str">
        <f>Texte!A23</f>
        <v>      consommés sur l’exploitation à l’année (sans estivage).</v>
      </c>
    </row>
    <row r="24" ht="12.75">
      <c r="B24" s="567" t="str">
        <f>Texte!A24</f>
        <v>    - Estivage: Concernant le nombre d’animaux, il s’agit de saisir particulièrement les </v>
      </c>
    </row>
    <row r="25" ht="12.75">
      <c r="B25" s="567" t="str">
        <f>Texte!A25</f>
        <v>      données sur le nombre d’animaux estivés (en positif) et le nombre de jours d’estivage.</v>
      </c>
    </row>
    <row r="26" ht="12.75">
      <c r="B26" s="567" t="str">
        <f>Texte!A26</f>
        <v>    - L’affouragement d’aliments complémentaires durant l’estivage n’est autorisé que pour les animaux</v>
      </c>
    </row>
    <row r="27" spans="2:7" ht="12.75">
      <c r="B27" s="567" t="str">
        <f>Texte!A27</f>
        <v>      traits des catégories suivantes : vaches laitières, chèvres et brebis. Indiquer les quantités effectives.</v>
      </c>
      <c r="G27" s="676"/>
    </row>
    <row r="28" ht="12.75">
      <c r="B28" s="567" t="str">
        <f>Texte!A28</f>
        <v>    - Les définitions contenues dans l’annexe 5 de l’OPD sont aussi valables pour </v>
      </c>
    </row>
    <row r="29" ht="12.75">
      <c r="B29" s="567" t="str">
        <f>Texte!A29</f>
        <v>      les aliments de base et complémentaires affouragés durant l’estivage.</v>
      </c>
    </row>
    <row r="30" ht="12.75">
      <c r="B30" s="160" t="str">
        <f>Texte!A30</f>
        <v>3. Partie B: Production de fourrages</v>
      </c>
    </row>
    <row r="31" ht="12.75">
      <c r="B31" s="567" t="str">
        <f>Texte!A31</f>
        <v>    - Saisir les surfaces et les rendements.</v>
      </c>
    </row>
    <row r="32" ht="12.75">
      <c r="B32" s="567" t="str">
        <f>Texte!A32</f>
        <v>    - Des valeurs maximales sont fixées pour les rendements des prairies et des pâturages.</v>
      </c>
    </row>
    <row r="33" ht="12.75">
      <c r="B33" s="567" t="str">
        <f>Texte!A33</f>
        <v>    - Si les rendements dépassent ces valeurs, une expertise par un spécialiste est nécessaire.</v>
      </c>
    </row>
    <row r="34" ht="12.75">
      <c r="B34" s="567" t="str">
        <f>Texte!A34</f>
        <v>    - Les rendements des cultures dérobées sont limités à 25 dt MS.</v>
      </c>
    </row>
    <row r="35" ht="12.75">
      <c r="B35" s="160" t="str">
        <f>Texte!A39</f>
        <v>4. Partie C: Saisir les achats et les ventes de fourrages</v>
      </c>
    </row>
    <row r="36" ht="12.75">
      <c r="B36" s="567" t="str">
        <f>Texte!A40</f>
        <v>    - Choisir le code: Vente, Achat ou Hors SF.</v>
      </c>
    </row>
    <row r="37" ht="12.75">
      <c r="B37" s="567" t="str">
        <f>Texte!A41</f>
        <v>    - Attention: Le bilan des fourrages doit être equilibré: comparer le </v>
      </c>
    </row>
    <row r="38" ht="12.75">
      <c r="B38" s="567" t="str">
        <f>Texte!A42</f>
        <v>      total "B1: Production totale de fourrages" et</v>
      </c>
    </row>
    <row r="39" ht="12.75">
      <c r="B39" s="567" t="str">
        <f>Texte!A43</f>
        <v>      "Total des fourrages à produire sur l'exploitation".</v>
      </c>
    </row>
    <row r="40" ht="12.75">
      <c r="B40" s="160" t="str">
        <f>Texte!A44</f>
        <v>5. Partie D: Bilan des fourrages</v>
      </c>
    </row>
    <row r="41" ht="12.75">
      <c r="B41" s="567" t="str">
        <f>Texte!A45</f>
        <v>    - Le Bilan des fourrages montre, en tenant compte des régions,</v>
      </c>
    </row>
    <row r="42" ht="12.75">
      <c r="B42" s="567" t="str">
        <f>Texte!A46</f>
        <v>      si la condition concernant la part minimale dans la ration est remplie ou non</v>
      </c>
    </row>
    <row r="43" ht="12.75">
      <c r="B43" s="568" t="str">
        <f>Texte!A47</f>
        <v>      vert=condition remplie</v>
      </c>
    </row>
    <row r="44" ht="12.75">
      <c r="B44" s="569" t="str">
        <f>Texte!A48</f>
        <v>      rouge=condition non remplie</v>
      </c>
    </row>
    <row r="45" ht="12.75">
      <c r="B45" s="160"/>
    </row>
    <row r="46" ht="12.75">
      <c r="B46" s="160"/>
    </row>
    <row r="47" ht="12.75">
      <c r="B47" s="163"/>
    </row>
    <row r="48" ht="12.75">
      <c r="B48" s="163"/>
    </row>
    <row r="49" ht="12.75">
      <c r="B49" s="163"/>
    </row>
    <row r="50" ht="12.75">
      <c r="B50" s="163"/>
    </row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 outlineLevel="12" collapsed="1"/>
    <row r="80" ht="12.75"/>
    <row r="81" ht="12.75" outlineLevel="3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</sheetData>
  <sheetProtection password="98F7" sheet="1" objects="1" scenarios="1"/>
  <dataValidations count="1">
    <dataValidation type="list" allowBlank="1" showInputMessage="1" showErrorMessage="1" sqref="C9">
      <formula1>$N$9:$N$11</formula1>
    </dataValidation>
  </dataValidations>
  <printOptions/>
  <pageMargins left="0.75" right="0.54" top="0.7" bottom="0.62" header="0.37" footer="0.32"/>
  <pageSetup horizontalDpi="600" verticalDpi="600" orientation="portrait" paperSize="9" scale="90" r:id="rId2"/>
  <headerFooter alignWithMargins="0">
    <oddFooter>&amp;L&amp;"Arial,Fett"&amp;11© AGRIDEA&amp;"Arial,Standard"&amp;10  &amp;9GMF / PLVH / PLCSI&amp;C&amp;9&amp;F&amp;R&amp;9&amp;P</oddFooter>
  </headerFooter>
  <rowBreaks count="1" manualBreakCount="1">
    <brk id="48" max="23" man="1"/>
  </rowBreaks>
  <colBreaks count="1" manualBreakCount="1">
    <brk id="7" max="9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 transitionEvaluation="1" transitionEntry="1"/>
  <dimension ref="A1:AY429"/>
  <sheetViews>
    <sheetView showGridLines="0" showRowColHeaders="0" workbookViewId="0" topLeftCell="A1">
      <selection activeCell="C15" sqref="C15:I15"/>
    </sheetView>
  </sheetViews>
  <sheetFormatPr defaultColWidth="12.140625" defaultRowHeight="12.75"/>
  <cols>
    <col min="1" max="1" width="1.7109375" style="166" customWidth="1"/>
    <col min="2" max="2" width="18.140625" style="166" customWidth="1"/>
    <col min="3" max="3" width="10.28125" style="166" customWidth="1"/>
    <col min="4" max="4" width="3.00390625" style="166" customWidth="1"/>
    <col min="5" max="5" width="6.7109375" style="166" customWidth="1"/>
    <col min="6" max="7" width="7.421875" style="166" customWidth="1"/>
    <col min="8" max="8" width="8.421875" style="166" customWidth="1"/>
    <col min="9" max="9" width="7.28125" style="166" customWidth="1"/>
    <col min="10" max="11" width="9.28125" style="166" customWidth="1"/>
    <col min="12" max="12" width="8.57421875" style="166" customWidth="1"/>
    <col min="13" max="13" width="14.7109375" style="166" customWidth="1"/>
    <col min="14" max="14" width="7.28125" style="166" customWidth="1"/>
    <col min="15" max="15" width="8.8515625" style="166" customWidth="1"/>
    <col min="16" max="16" width="14.7109375" style="166" customWidth="1"/>
    <col min="17" max="17" width="14.28125" style="166" customWidth="1"/>
    <col min="18" max="18" width="11.57421875" style="166" customWidth="1"/>
    <col min="19" max="19" width="11.00390625" style="166" customWidth="1"/>
    <col min="20" max="20" width="15.140625" style="166" hidden="1" customWidth="1"/>
    <col min="21" max="21" width="7.140625" style="166" hidden="1" customWidth="1"/>
    <col min="22" max="22" width="17.57421875" style="166" hidden="1" customWidth="1"/>
    <col min="23" max="23" width="28.7109375" style="166" hidden="1" customWidth="1"/>
    <col min="24" max="25" width="6.28125" style="166" hidden="1" customWidth="1"/>
    <col min="26" max="26" width="5.8515625" style="166" hidden="1" customWidth="1"/>
    <col min="27" max="27" width="19.140625" style="167" hidden="1" customWidth="1"/>
    <col min="28" max="28" width="8.8515625" style="167" hidden="1" customWidth="1"/>
    <col min="29" max="29" width="3.421875" style="167" hidden="1" customWidth="1"/>
    <col min="30" max="30" width="8.7109375" style="168" hidden="1" customWidth="1"/>
    <col min="31" max="31" width="12.00390625" style="167" hidden="1" customWidth="1"/>
    <col min="32" max="32" width="9.421875" style="167" hidden="1" customWidth="1"/>
    <col min="33" max="33" width="8.00390625" style="166" customWidth="1"/>
    <col min="34" max="36" width="8.7109375" style="169" customWidth="1"/>
    <col min="37" max="37" width="8.7109375" style="166" customWidth="1"/>
    <col min="38" max="40" width="6.421875" style="166" customWidth="1"/>
    <col min="41" max="16384" width="12.140625" style="166" customWidth="1"/>
  </cols>
  <sheetData>
    <row r="1" spans="26:36" ht="9" customHeight="1">
      <c r="Z1" s="167"/>
      <c r="AC1" s="168"/>
      <c r="AD1" s="167"/>
      <c r="AF1" s="166"/>
      <c r="AG1" s="169"/>
      <c r="AJ1" s="166"/>
    </row>
    <row r="2" spans="1:46" ht="21" customHeight="1">
      <c r="A2" s="170"/>
      <c r="D2" s="171" t="str">
        <f>Texte!A51</f>
        <v>Bilan des fourrages pour la production </v>
      </c>
      <c r="L2" s="172"/>
      <c r="P2" s="629"/>
      <c r="Q2" s="629"/>
      <c r="R2" s="173" t="str">
        <f>Texte!A5</f>
        <v>PLVH</v>
      </c>
      <c r="T2" s="473"/>
      <c r="U2" s="194" t="s">
        <v>844</v>
      </c>
      <c r="W2" s="194" t="s">
        <v>482</v>
      </c>
      <c r="X2" s="194" t="s">
        <v>827</v>
      </c>
      <c r="Z2" s="167"/>
      <c r="AA2" s="174"/>
      <c r="AB2" s="174"/>
      <c r="AC2" s="174"/>
      <c r="AD2" s="174"/>
      <c r="AE2" s="174"/>
      <c r="AF2" s="174"/>
      <c r="AG2" s="169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</row>
    <row r="3" spans="1:46" ht="21" customHeight="1">
      <c r="A3" s="170"/>
      <c r="D3" s="171" t="str">
        <f>Texte!A52</f>
        <v>de lait et de viande basée sur les herbages</v>
      </c>
      <c r="L3" s="172"/>
      <c r="N3" s="180"/>
      <c r="P3" s="549"/>
      <c r="Q3" s="549"/>
      <c r="R3" s="549" t="str">
        <f>Texte!A6</f>
        <v>version: 1.4</v>
      </c>
      <c r="T3" s="473"/>
      <c r="U3" s="174"/>
      <c r="W3" s="194" t="s">
        <v>483</v>
      </c>
      <c r="X3" s="194"/>
      <c r="Z3" s="167"/>
      <c r="AA3" s="174"/>
      <c r="AB3" s="174"/>
      <c r="AC3" s="174"/>
      <c r="AD3" s="174"/>
      <c r="AE3" s="174"/>
      <c r="AF3" s="174"/>
      <c r="AG3" s="169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</row>
    <row r="4" spans="2:45" ht="9.75" customHeight="1">
      <c r="B4" s="176"/>
      <c r="C4" s="177"/>
      <c r="E4" s="177"/>
      <c r="F4" s="177"/>
      <c r="G4" s="177"/>
      <c r="H4" s="177"/>
      <c r="I4" s="177"/>
      <c r="J4" s="177"/>
      <c r="K4" s="178"/>
      <c r="L4" s="179"/>
      <c r="P4" s="546"/>
      <c r="Q4" s="546"/>
      <c r="R4" s="546" t="str">
        <f>Texte!A7</f>
        <v>correspondant Suisse-Bilanz Edition 1.13</v>
      </c>
      <c r="T4" s="477"/>
      <c r="U4" s="174"/>
      <c r="V4" s="174"/>
      <c r="X4" s="174"/>
      <c r="Z4" s="167"/>
      <c r="AA4" s="174"/>
      <c r="AB4" s="174"/>
      <c r="AC4" s="174"/>
      <c r="AD4" s="174"/>
      <c r="AE4" s="174"/>
      <c r="AF4" s="181"/>
      <c r="AG4" s="169"/>
      <c r="AI4" s="175"/>
      <c r="AJ4" s="175"/>
      <c r="AK4" s="175"/>
      <c r="AL4" s="175"/>
      <c r="AM4" s="175"/>
      <c r="AN4" s="175"/>
      <c r="AO4" s="175"/>
      <c r="AP4" s="175"/>
      <c r="AQ4" s="175"/>
      <c r="AR4" s="175"/>
      <c r="AS4" s="175"/>
    </row>
    <row r="5" spans="2:45" ht="3" customHeight="1" thickBot="1">
      <c r="B5" s="182"/>
      <c r="C5" s="183"/>
      <c r="D5" s="184"/>
      <c r="E5" s="183"/>
      <c r="F5" s="185"/>
      <c r="G5" s="185"/>
      <c r="H5" s="185"/>
      <c r="I5" s="186"/>
      <c r="J5" s="184"/>
      <c r="K5" s="184"/>
      <c r="L5" s="184"/>
      <c r="M5" s="184"/>
      <c r="N5" s="184"/>
      <c r="O5" s="184"/>
      <c r="P5" s="184"/>
      <c r="Q5" s="184"/>
      <c r="R5" s="184"/>
      <c r="T5" s="174"/>
      <c r="U5" s="174"/>
      <c r="V5" s="174"/>
      <c r="W5" s="174"/>
      <c r="X5" s="174"/>
      <c r="Z5" s="167"/>
      <c r="AA5" s="174"/>
      <c r="AB5" s="174"/>
      <c r="AC5" s="174"/>
      <c r="AD5" s="174"/>
      <c r="AE5" s="174"/>
      <c r="AF5" s="187"/>
      <c r="AG5" s="169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</row>
    <row r="6" spans="2:45" ht="12.75" customHeight="1">
      <c r="B6" s="188"/>
      <c r="C6" s="171"/>
      <c r="E6" s="171"/>
      <c r="F6" s="189"/>
      <c r="G6" s="189"/>
      <c r="H6" s="189"/>
      <c r="I6" s="190"/>
      <c r="J6" s="172"/>
      <c r="M6" s="191"/>
      <c r="N6" s="191"/>
      <c r="O6" s="191"/>
      <c r="P6" s="191"/>
      <c r="Q6" s="191"/>
      <c r="R6" s="191"/>
      <c r="S6" s="174"/>
      <c r="T6" s="174"/>
      <c r="U6" s="540" t="s">
        <v>852</v>
      </c>
      <c r="V6" s="174"/>
      <c r="W6" s="174"/>
      <c r="X6" s="174"/>
      <c r="Z6" s="167"/>
      <c r="AA6" s="174"/>
      <c r="AB6" s="174"/>
      <c r="AC6" s="174"/>
      <c r="AD6" s="174"/>
      <c r="AE6" s="174"/>
      <c r="AF6" s="187"/>
      <c r="AG6" s="169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</row>
    <row r="7" spans="2:45" ht="15" customHeight="1">
      <c r="B7" s="92" t="str">
        <f>Texte!A53</f>
        <v>No d'exploitation</v>
      </c>
      <c r="C7" s="86"/>
      <c r="D7" s="87"/>
      <c r="E7" s="87"/>
      <c r="F7" s="87"/>
      <c r="G7" s="87"/>
      <c r="H7" s="87"/>
      <c r="I7" s="87"/>
      <c r="M7" s="117" t="str">
        <f>Texte!A54</f>
        <v>Année de récolte</v>
      </c>
      <c r="N7" s="88"/>
      <c r="O7" s="87"/>
      <c r="P7" s="87"/>
      <c r="Q7" s="87"/>
      <c r="R7" s="87"/>
      <c r="S7" s="174"/>
      <c r="T7" s="174"/>
      <c r="U7" s="540" t="s">
        <v>826</v>
      </c>
      <c r="V7" s="174"/>
      <c r="W7" s="174"/>
      <c r="X7" s="540" t="s">
        <v>68</v>
      </c>
      <c r="Z7" s="167"/>
      <c r="AA7" s="540" t="s">
        <v>70</v>
      </c>
      <c r="AB7" s="174"/>
      <c r="AC7" s="174"/>
      <c r="AD7" s="174"/>
      <c r="AE7" s="174"/>
      <c r="AF7" s="181"/>
      <c r="AG7" s="169"/>
      <c r="AI7" s="175"/>
      <c r="AJ7" s="175"/>
      <c r="AK7" s="175"/>
      <c r="AL7" s="175"/>
      <c r="AM7" s="175"/>
      <c r="AN7" s="175"/>
      <c r="AO7" s="175"/>
      <c r="AP7" s="175"/>
      <c r="AQ7" s="175"/>
      <c r="AR7" s="175"/>
      <c r="AS7" s="175"/>
    </row>
    <row r="8" spans="2:46" ht="15" customHeight="1">
      <c r="B8" s="85" t="str">
        <f>Texte!A55</f>
        <v>Nom / Prénom</v>
      </c>
      <c r="C8" s="86"/>
      <c r="D8" s="87"/>
      <c r="E8" s="87"/>
      <c r="F8" s="87"/>
      <c r="G8" s="87"/>
      <c r="H8" s="87"/>
      <c r="I8" s="87"/>
      <c r="M8" s="117" t="str">
        <f>Texte!A56</f>
        <v>Variante</v>
      </c>
      <c r="N8" s="88"/>
      <c r="O8" s="87"/>
      <c r="P8" s="87"/>
      <c r="Q8" s="87"/>
      <c r="R8" s="87"/>
      <c r="S8" s="174"/>
      <c r="T8" s="174"/>
      <c r="U8" s="174"/>
      <c r="V8" s="174"/>
      <c r="W8" s="174"/>
      <c r="X8" s="147"/>
      <c r="Y8" s="140"/>
      <c r="Z8" s="140"/>
      <c r="AA8" s="147"/>
      <c r="AB8" s="174"/>
      <c r="AC8" s="174"/>
      <c r="AD8" s="174"/>
      <c r="AE8" s="174"/>
      <c r="AF8" s="174"/>
      <c r="AG8" s="169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</row>
    <row r="9" spans="13:46" ht="15" customHeight="1">
      <c r="M9" s="192"/>
      <c r="Q9" s="174"/>
      <c r="R9" s="174"/>
      <c r="S9" s="174"/>
      <c r="T9" s="174"/>
      <c r="U9" s="147" t="str">
        <f>Texte!A66</f>
        <v>région de plaine</v>
      </c>
      <c r="V9" s="193">
        <v>1</v>
      </c>
      <c r="W9" s="194"/>
      <c r="X9" s="147" t="str">
        <f>Texte!A69</f>
        <v>PER : pas remplies</v>
      </c>
      <c r="Y9" s="147"/>
      <c r="Z9" s="147"/>
      <c r="AA9" s="147" t="str">
        <f>Texte!A73</f>
        <v>aucune</v>
      </c>
      <c r="AB9" s="174"/>
      <c r="AC9" s="174"/>
      <c r="AD9" s="174"/>
      <c r="AE9" s="174"/>
      <c r="AF9" s="174"/>
      <c r="AG9" s="19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</row>
    <row r="10" spans="2:46" ht="15" customHeight="1">
      <c r="B10" s="85" t="str">
        <f>Texte!A57</f>
        <v>Rue / Exploitation</v>
      </c>
      <c r="C10" s="88"/>
      <c r="D10" s="87"/>
      <c r="E10" s="87"/>
      <c r="F10" s="87"/>
      <c r="G10" s="87"/>
      <c r="H10" s="87"/>
      <c r="I10" s="87"/>
      <c r="M10" s="117" t="str">
        <f>Texte!A58</f>
        <v>Canton</v>
      </c>
      <c r="N10" s="88"/>
      <c r="O10" s="87"/>
      <c r="P10" s="87"/>
      <c r="Q10" s="87"/>
      <c r="R10" s="87"/>
      <c r="S10" s="174"/>
      <c r="T10" s="174"/>
      <c r="U10" s="147" t="str">
        <f>Texte!A67</f>
        <v>région de montagne</v>
      </c>
      <c r="V10" s="193">
        <v>2</v>
      </c>
      <c r="W10" s="194"/>
      <c r="X10" s="147" t="str">
        <f>Texte!A70</f>
        <v>PER : remplies</v>
      </c>
      <c r="Y10" s="147"/>
      <c r="Z10" s="147"/>
      <c r="AA10" s="147" t="str">
        <f>Texte!A74</f>
        <v>Communauté / une exploitation</v>
      </c>
      <c r="AB10" s="174"/>
      <c r="AC10" s="174"/>
      <c r="AD10" s="174"/>
      <c r="AE10" s="174"/>
      <c r="AF10" s="174"/>
      <c r="AG10" s="19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</row>
    <row r="11" spans="2:46" ht="15" customHeight="1">
      <c r="B11" s="85" t="str">
        <f>Texte!A59</f>
        <v>NPA / Localité</v>
      </c>
      <c r="C11" s="88"/>
      <c r="D11" s="87"/>
      <c r="E11" s="87"/>
      <c r="F11" s="87"/>
      <c r="G11" s="87"/>
      <c r="H11" s="87"/>
      <c r="I11" s="87"/>
      <c r="M11" s="117" t="str">
        <f>Texte!A60</f>
        <v>Fax / E-mail</v>
      </c>
      <c r="N11" s="498"/>
      <c r="O11" s="93"/>
      <c r="P11" s="93"/>
      <c r="Q11" s="87"/>
      <c r="R11" s="87"/>
      <c r="S11" s="174"/>
      <c r="T11" s="174"/>
      <c r="U11" s="515">
        <f>IF(C15="",0,VLOOKUP($C$15,$U$9:$V$10,2,FALSE))</f>
        <v>0</v>
      </c>
      <c r="V11" s="193"/>
      <c r="W11" s="194"/>
      <c r="X11" s="147" t="str">
        <f>Texte!A71</f>
        <v>Culture biologique</v>
      </c>
      <c r="Y11" s="147"/>
      <c r="Z11" s="147"/>
      <c r="AA11" s="147" t="str">
        <f>Texte!A75</f>
        <v>avec 2 exploitations</v>
      </c>
      <c r="AB11" s="174"/>
      <c r="AC11" s="174"/>
      <c r="AD11" s="174"/>
      <c r="AE11" s="174"/>
      <c r="AF11" s="174"/>
      <c r="AG11" s="19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</row>
    <row r="12" spans="2:46" ht="15" customHeight="1">
      <c r="B12" s="85" t="str">
        <f>Texte!A61</f>
        <v>Téléphone</v>
      </c>
      <c r="C12" s="88"/>
      <c r="D12" s="87"/>
      <c r="E12" s="87"/>
      <c r="F12" s="87"/>
      <c r="G12" s="87"/>
      <c r="H12" s="87"/>
      <c r="I12" s="87"/>
      <c r="M12" s="117" t="str">
        <f>Texte!A62</f>
        <v>Mobile</v>
      </c>
      <c r="N12" s="88"/>
      <c r="O12" s="87"/>
      <c r="P12" s="87"/>
      <c r="Q12" s="87"/>
      <c r="R12" s="87"/>
      <c r="S12" s="174"/>
      <c r="T12" s="174"/>
      <c r="U12" s="147"/>
      <c r="V12" s="193"/>
      <c r="W12" s="194"/>
      <c r="X12" s="147"/>
      <c r="Y12" s="147"/>
      <c r="Z12" s="147"/>
      <c r="AA12" s="147" t="str">
        <f>Texte!A76</f>
        <v>avec 3 exploitations</v>
      </c>
      <c r="AB12" s="174"/>
      <c r="AC12" s="174"/>
      <c r="AD12" s="174"/>
      <c r="AE12" s="174"/>
      <c r="AF12" s="174"/>
      <c r="AG12" s="19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</row>
    <row r="13" spans="13:46" ht="15" customHeight="1">
      <c r="M13" s="192"/>
      <c r="Q13" s="174"/>
      <c r="R13" s="174"/>
      <c r="S13" s="174"/>
      <c r="T13" s="174"/>
      <c r="U13" s="541" t="s">
        <v>853</v>
      </c>
      <c r="V13" s="193"/>
      <c r="W13" s="194"/>
      <c r="Y13" s="147"/>
      <c r="Z13" s="147"/>
      <c r="AA13" s="147" t="str">
        <f>Texte!A77</f>
        <v>avec 4 exploitations</v>
      </c>
      <c r="AB13" s="174"/>
      <c r="AC13" s="174"/>
      <c r="AD13" s="174"/>
      <c r="AE13" s="174"/>
      <c r="AF13" s="174"/>
      <c r="AG13" s="19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</row>
    <row r="14" spans="2:46" ht="15" customHeight="1">
      <c r="B14" s="85" t="str">
        <f>Texte!A63</f>
        <v>Surf. agricole utile</v>
      </c>
      <c r="C14" s="145"/>
      <c r="D14" s="87"/>
      <c r="E14" s="87"/>
      <c r="F14" s="87"/>
      <c r="G14" s="87"/>
      <c r="H14" s="87"/>
      <c r="I14" s="87"/>
      <c r="M14" s="117" t="str">
        <f>Texte!A64</f>
        <v>Altitude</v>
      </c>
      <c r="N14" s="88"/>
      <c r="O14" s="87"/>
      <c r="P14" s="87"/>
      <c r="Q14" s="87"/>
      <c r="R14" s="87"/>
      <c r="S14" s="174"/>
      <c r="T14" s="174"/>
      <c r="V14" s="193"/>
      <c r="W14" s="194"/>
      <c r="X14" s="194"/>
      <c r="Y14" s="147"/>
      <c r="Z14" s="147"/>
      <c r="AA14" s="204"/>
      <c r="AB14" s="174"/>
      <c r="AC14" s="174"/>
      <c r="AD14" s="174"/>
      <c r="AE14" s="174"/>
      <c r="AF14" s="174"/>
      <c r="AG14" s="19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</row>
    <row r="15" spans="2:46" ht="15" customHeight="1">
      <c r="B15" s="85" t="str">
        <f>Texte!A65</f>
        <v>régions</v>
      </c>
      <c r="C15" s="775"/>
      <c r="D15" s="775"/>
      <c r="E15" s="775"/>
      <c r="F15" s="775"/>
      <c r="G15" s="775"/>
      <c r="H15" s="775"/>
      <c r="I15" s="775"/>
      <c r="M15" s="117" t="str">
        <f>Texte!A68</f>
        <v>Mode d'exploitation</v>
      </c>
      <c r="N15" s="774"/>
      <c r="O15" s="774"/>
      <c r="P15" s="774"/>
      <c r="Q15" s="774"/>
      <c r="R15" s="774"/>
      <c r="S15" s="174"/>
      <c r="T15" s="174"/>
      <c r="U15" s="194" t="str">
        <f>Texte!A85</f>
        <v>oui</v>
      </c>
      <c r="V15" s="197"/>
      <c r="W15" s="194"/>
      <c r="X15" s="194"/>
      <c r="Y15" s="147"/>
      <c r="Z15" s="147"/>
      <c r="AA15" s="174"/>
      <c r="AB15" s="174"/>
      <c r="AC15" s="174"/>
      <c r="AD15" s="174"/>
      <c r="AE15" s="174"/>
      <c r="AF15" s="174"/>
      <c r="AG15" s="19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</row>
    <row r="16" spans="13:46" ht="15" customHeight="1">
      <c r="M16" s="117" t="str">
        <f>Texte!A72</f>
        <v>Communauté</v>
      </c>
      <c r="N16" s="774"/>
      <c r="O16" s="774"/>
      <c r="P16" s="774"/>
      <c r="Q16" s="774"/>
      <c r="R16" s="774"/>
      <c r="S16" s="174"/>
      <c r="T16" s="174"/>
      <c r="U16" s="194" t="str">
        <f>Texte!A86</f>
        <v>non</v>
      </c>
      <c r="V16" s="197"/>
      <c r="W16" s="194"/>
      <c r="X16" s="194"/>
      <c r="Y16" s="147"/>
      <c r="Z16" s="147"/>
      <c r="AA16" s="174"/>
      <c r="AB16" s="174"/>
      <c r="AC16" s="174"/>
      <c r="AD16" s="174"/>
      <c r="AE16" s="174"/>
      <c r="AF16" s="174"/>
      <c r="AG16" s="19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</row>
    <row r="17" spans="2:46" ht="7.5" customHeight="1">
      <c r="B17" s="85"/>
      <c r="C17" s="165"/>
      <c r="D17" s="85"/>
      <c r="M17" s="174"/>
      <c r="N17" s="174"/>
      <c r="O17" s="174"/>
      <c r="P17" s="630"/>
      <c r="Q17" s="630"/>
      <c r="R17" s="630"/>
      <c r="S17" s="174"/>
      <c r="T17" s="174"/>
      <c r="U17" s="204"/>
      <c r="V17" s="194"/>
      <c r="W17" s="194"/>
      <c r="X17" s="194"/>
      <c r="Y17" s="147"/>
      <c r="Z17" s="147"/>
      <c r="AA17" s="174"/>
      <c r="AB17" s="174"/>
      <c r="AC17" s="174"/>
      <c r="AD17" s="174"/>
      <c r="AE17" s="174"/>
      <c r="AF17" s="174"/>
      <c r="AG17" s="19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</row>
    <row r="18" spans="2:46" ht="15" customHeight="1">
      <c r="B18" s="85" t="str">
        <f>Texte!A78</f>
        <v>Conseiller(ère)</v>
      </c>
      <c r="C18" s="88"/>
      <c r="D18" s="87"/>
      <c r="E18" s="87"/>
      <c r="F18" s="87"/>
      <c r="G18" s="87"/>
      <c r="H18" s="87"/>
      <c r="I18" s="87"/>
      <c r="J18" s="87"/>
      <c r="K18" s="87"/>
      <c r="L18" s="89"/>
      <c r="M18" s="89"/>
      <c r="N18" s="89"/>
      <c r="O18" s="89"/>
      <c r="P18" s="89"/>
      <c r="Q18" s="89"/>
      <c r="R18" s="89"/>
      <c r="S18" s="503"/>
      <c r="T18" s="504"/>
      <c r="W18" s="194"/>
      <c r="X18" s="194"/>
      <c r="Z18" s="147"/>
      <c r="AA18" s="174"/>
      <c r="AB18" s="174"/>
      <c r="AC18" s="174"/>
      <c r="AD18" s="174"/>
      <c r="AE18" s="174"/>
      <c r="AF18" s="174"/>
      <c r="AG18" s="19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</row>
    <row r="19" spans="4:46" ht="15" customHeight="1">
      <c r="D19" s="71"/>
      <c r="S19" s="198"/>
      <c r="T19" s="198"/>
      <c r="W19" s="194"/>
      <c r="X19" s="194"/>
      <c r="Z19" s="147"/>
      <c r="AA19" s="174"/>
      <c r="AB19" s="174"/>
      <c r="AC19" s="174"/>
      <c r="AD19" s="174"/>
      <c r="AE19" s="174"/>
      <c r="AF19" s="174"/>
      <c r="AG19" s="19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</row>
    <row r="20" spans="2:46" ht="15" customHeight="1">
      <c r="B20" s="85" t="str">
        <f>Texte!A79</f>
        <v>Remarques</v>
      </c>
      <c r="C20" s="90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 t="s">
        <v>300</v>
      </c>
      <c r="P20" s="91"/>
      <c r="Q20" s="91"/>
      <c r="R20" s="91"/>
      <c r="S20" s="198" t="s">
        <v>300</v>
      </c>
      <c r="T20" s="198"/>
      <c r="W20" s="194"/>
      <c r="X20" s="194"/>
      <c r="Z20" s="147"/>
      <c r="AA20" s="174"/>
      <c r="AB20" s="174"/>
      <c r="AC20" s="174"/>
      <c r="AD20" s="174"/>
      <c r="AE20" s="174"/>
      <c r="AF20" s="174"/>
      <c r="AG20" s="19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</row>
    <row r="21" spans="2:46" ht="15" customHeight="1">
      <c r="B21" s="199"/>
      <c r="C21" s="90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 t="s">
        <v>300</v>
      </c>
      <c r="P21" s="91"/>
      <c r="Q21" s="91"/>
      <c r="R21" s="91"/>
      <c r="S21" s="198" t="s">
        <v>300</v>
      </c>
      <c r="T21" s="198"/>
      <c r="W21" s="194"/>
      <c r="X21" s="194"/>
      <c r="Z21" s="147"/>
      <c r="AA21" s="174"/>
      <c r="AB21" s="174"/>
      <c r="AC21" s="174"/>
      <c r="AD21" s="174"/>
      <c r="AE21" s="174"/>
      <c r="AF21" s="174"/>
      <c r="AG21" s="195"/>
      <c r="AJ21" s="175"/>
      <c r="AK21" s="175"/>
      <c r="AL21" s="175"/>
      <c r="AM21" s="175"/>
      <c r="AN21" s="175"/>
      <c r="AO21" s="175"/>
      <c r="AP21" s="175"/>
      <c r="AQ21" s="175"/>
      <c r="AR21" s="175"/>
      <c r="AS21" s="175"/>
      <c r="AT21" s="175"/>
    </row>
    <row r="22" spans="2:46" ht="15" customHeight="1">
      <c r="B22" s="199"/>
      <c r="C22" s="90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 t="s">
        <v>300</v>
      </c>
      <c r="P22" s="91"/>
      <c r="Q22" s="91"/>
      <c r="R22" s="91"/>
      <c r="S22" s="198" t="s">
        <v>300</v>
      </c>
      <c r="T22" s="198"/>
      <c r="W22" s="194"/>
      <c r="X22" s="194"/>
      <c r="Z22" s="147"/>
      <c r="AA22" s="174"/>
      <c r="AB22" s="174"/>
      <c r="AC22" s="174"/>
      <c r="AD22" s="174"/>
      <c r="AE22" s="174"/>
      <c r="AF22" s="174"/>
      <c r="AG22" s="19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</row>
    <row r="23" spans="2:46" ht="15" customHeight="1">
      <c r="B23" s="199"/>
      <c r="C23" s="90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 t="s">
        <v>300</v>
      </c>
      <c r="P23" s="91"/>
      <c r="Q23" s="91"/>
      <c r="R23" s="91"/>
      <c r="S23" s="198" t="s">
        <v>300</v>
      </c>
      <c r="T23" s="198"/>
      <c r="W23" s="194"/>
      <c r="X23" s="194"/>
      <c r="Z23" s="147"/>
      <c r="AA23" s="174"/>
      <c r="AB23" s="174"/>
      <c r="AC23" s="174"/>
      <c r="AD23" s="174"/>
      <c r="AE23" s="174"/>
      <c r="AF23" s="174"/>
      <c r="AG23" s="19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</row>
    <row r="24" spans="2:46" ht="15" customHeight="1">
      <c r="B24" s="199"/>
      <c r="C24" s="90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 t="s">
        <v>300</v>
      </c>
      <c r="P24" s="91"/>
      <c r="Q24" s="91"/>
      <c r="R24" s="91"/>
      <c r="S24" s="198" t="s">
        <v>300</v>
      </c>
      <c r="T24" s="198"/>
      <c r="W24" s="194"/>
      <c r="X24" s="194"/>
      <c r="Z24" s="147"/>
      <c r="AA24" s="174"/>
      <c r="AB24" s="174"/>
      <c r="AC24" s="174"/>
      <c r="AD24" s="174"/>
      <c r="AE24" s="174"/>
      <c r="AF24" s="174"/>
      <c r="AG24" s="19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</row>
    <row r="25" spans="2:46" ht="15" customHeight="1">
      <c r="B25" s="199"/>
      <c r="C25" s="90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 t="s">
        <v>300</v>
      </c>
      <c r="P25" s="91"/>
      <c r="Q25" s="91"/>
      <c r="R25" s="91"/>
      <c r="S25" s="174" t="s">
        <v>300</v>
      </c>
      <c r="T25" s="174"/>
      <c r="U25" s="194"/>
      <c r="V25" s="194"/>
      <c r="W25" s="194"/>
      <c r="X25" s="194"/>
      <c r="Z25" s="147"/>
      <c r="AA25" s="174"/>
      <c r="AB25" s="174"/>
      <c r="AC25" s="174"/>
      <c r="AD25" s="174"/>
      <c r="AE25" s="174"/>
      <c r="AF25" s="174"/>
      <c r="AG25" s="19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</row>
    <row r="26" spans="2:46" ht="15" customHeight="1">
      <c r="B26" s="199"/>
      <c r="C26" s="90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 t="s">
        <v>300</v>
      </c>
      <c r="P26" s="91"/>
      <c r="Q26" s="91"/>
      <c r="R26" s="91"/>
      <c r="S26" s="174" t="s">
        <v>300</v>
      </c>
      <c r="T26" s="174"/>
      <c r="U26" s="194"/>
      <c r="V26" s="194"/>
      <c r="W26" s="194"/>
      <c r="X26" s="194"/>
      <c r="Z26" s="147"/>
      <c r="AA26" s="174"/>
      <c r="AB26" s="174"/>
      <c r="AC26" s="174"/>
      <c r="AD26" s="174"/>
      <c r="AE26" s="174"/>
      <c r="AF26" s="174"/>
      <c r="AG26" s="19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</row>
    <row r="27" spans="2:46" ht="15" customHeight="1">
      <c r="B27" s="199"/>
      <c r="C27" s="90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 t="s">
        <v>300</v>
      </c>
      <c r="P27" s="91"/>
      <c r="Q27" s="91"/>
      <c r="R27" s="91"/>
      <c r="S27" s="174" t="s">
        <v>300</v>
      </c>
      <c r="T27" s="174"/>
      <c r="V27" s="194"/>
      <c r="W27" s="194"/>
      <c r="X27" s="194"/>
      <c r="Z27" s="147"/>
      <c r="AA27" s="174"/>
      <c r="AB27" s="174"/>
      <c r="AC27" s="174"/>
      <c r="AD27" s="174"/>
      <c r="AE27" s="174"/>
      <c r="AF27" s="174"/>
      <c r="AG27" s="19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</row>
    <row r="28" spans="2:46" ht="15" customHeight="1">
      <c r="B28" s="199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 t="s">
        <v>300</v>
      </c>
      <c r="P28" s="91"/>
      <c r="Q28" s="91"/>
      <c r="R28" s="91"/>
      <c r="S28" s="174" t="s">
        <v>300</v>
      </c>
      <c r="T28" s="174"/>
      <c r="V28" s="194"/>
      <c r="W28" s="194"/>
      <c r="X28" s="194"/>
      <c r="Z28" s="147"/>
      <c r="AA28" s="174"/>
      <c r="AB28" s="174"/>
      <c r="AC28" s="174"/>
      <c r="AD28" s="174"/>
      <c r="AE28" s="174"/>
      <c r="AF28" s="174"/>
      <c r="AG28" s="19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</row>
    <row r="29" spans="2:46" ht="15" customHeight="1">
      <c r="B29" s="199"/>
      <c r="C29" s="90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 t="s">
        <v>300</v>
      </c>
      <c r="P29" s="91"/>
      <c r="Q29" s="91"/>
      <c r="R29" s="91"/>
      <c r="S29" s="174" t="s">
        <v>300</v>
      </c>
      <c r="T29" s="174"/>
      <c r="V29" s="194"/>
      <c r="W29" s="194"/>
      <c r="X29" s="194"/>
      <c r="Z29" s="147"/>
      <c r="AA29" s="174"/>
      <c r="AB29" s="174"/>
      <c r="AC29" s="174"/>
      <c r="AD29" s="174"/>
      <c r="AE29" s="174"/>
      <c r="AF29" s="174"/>
      <c r="AG29" s="195"/>
      <c r="AJ29" s="175"/>
      <c r="AK29" s="175"/>
      <c r="AL29" s="175"/>
      <c r="AM29" s="175"/>
      <c r="AN29" s="175"/>
      <c r="AO29" s="175"/>
      <c r="AP29" s="175"/>
      <c r="AQ29" s="175"/>
      <c r="AR29" s="175"/>
      <c r="AS29" s="175"/>
      <c r="AT29" s="175"/>
    </row>
    <row r="30" spans="14:46" ht="15" customHeight="1">
      <c r="N30" s="174"/>
      <c r="O30" s="174"/>
      <c r="P30" s="174"/>
      <c r="Q30" s="174"/>
      <c r="R30" s="174"/>
      <c r="S30" s="174"/>
      <c r="T30" s="174"/>
      <c r="V30" s="194"/>
      <c r="W30" s="194"/>
      <c r="X30" s="194"/>
      <c r="Z30" s="147"/>
      <c r="AA30" s="174"/>
      <c r="AB30" s="174"/>
      <c r="AC30" s="174"/>
      <c r="AD30" s="174"/>
      <c r="AE30" s="174"/>
      <c r="AF30" s="174"/>
      <c r="AG30" s="19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</row>
    <row r="31" spans="1:46" ht="16.5" customHeight="1">
      <c r="A31" s="200"/>
      <c r="B31" s="201" t="str">
        <f>Texte!A80</f>
        <v>Partie A: Consommation de fourrages de base et de concentrés</v>
      </c>
      <c r="C31" s="200"/>
      <c r="D31" s="200"/>
      <c r="E31" s="200"/>
      <c r="F31" s="202"/>
      <c r="G31" s="202"/>
      <c r="H31" s="202"/>
      <c r="I31" s="202"/>
      <c r="J31" s="202"/>
      <c r="T31" s="203"/>
      <c r="V31" s="204"/>
      <c r="X31" s="204"/>
      <c r="Y31" s="542" t="s">
        <v>854</v>
      </c>
      <c r="Z31" s="205"/>
      <c r="AB31" s="206"/>
      <c r="AC31" s="207"/>
      <c r="AD31" s="206"/>
      <c r="AE31" s="208"/>
      <c r="AF31" s="166"/>
      <c r="AG31" s="203"/>
      <c r="AH31" s="181"/>
      <c r="AI31" s="181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</row>
    <row r="32" spans="2:46" ht="9.75" customHeight="1">
      <c r="B32" s="209"/>
      <c r="C32" s="209"/>
      <c r="D32" s="209"/>
      <c r="E32" s="209"/>
      <c r="I32" s="172"/>
      <c r="T32" s="210"/>
      <c r="U32" s="543" t="s">
        <v>363</v>
      </c>
      <c r="V32" s="204"/>
      <c r="X32" s="151"/>
      <c r="Y32" s="151" t="s">
        <v>857</v>
      </c>
      <c r="Z32" s="211"/>
      <c r="AA32" s="203"/>
      <c r="AB32" s="203"/>
      <c r="AC32" s="210"/>
      <c r="AD32" s="206"/>
      <c r="AE32" s="206"/>
      <c r="AF32" s="210"/>
      <c r="AG32" s="203"/>
      <c r="AH32" s="203"/>
      <c r="AI32" s="203"/>
      <c r="AJ32" s="212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</row>
    <row r="33" spans="1:46" ht="13.5" customHeight="1">
      <c r="A33" s="209"/>
      <c r="C33" s="209"/>
      <c r="E33" s="213" t="str">
        <f>Texte!A81</f>
        <v>Conc. Tot. VL sur SAU</v>
      </c>
      <c r="F33" s="58"/>
      <c r="G33" s="166" t="str">
        <f>Texte!A82</f>
        <v>dt/an</v>
      </c>
      <c r="L33" s="214" t="str">
        <f>Texte!A83</f>
        <v>Affouragement pdt ou betterave?</v>
      </c>
      <c r="M33" s="164"/>
      <c r="N33" s="215"/>
      <c r="O33" s="210"/>
      <c r="P33" s="210"/>
      <c r="Q33" s="210"/>
      <c r="R33" s="210"/>
      <c r="U33" s="515">
        <f>IF($M$33="",0,IF($M$33=$U$15,1.1,0))</f>
        <v>0</v>
      </c>
      <c r="V33" s="223"/>
      <c r="W33" s="224">
        <v>0</v>
      </c>
      <c r="X33" s="225">
        <v>0</v>
      </c>
      <c r="Y33" s="225">
        <v>500</v>
      </c>
      <c r="Z33" s="205"/>
      <c r="AA33" s="210"/>
      <c r="AC33" s="168"/>
      <c r="AD33" s="167"/>
      <c r="AE33" s="206"/>
      <c r="AF33" s="166"/>
      <c r="AG33" s="169"/>
      <c r="AH33" s="203"/>
      <c r="AI33" s="203"/>
      <c r="AJ33" s="212"/>
      <c r="AK33" s="175"/>
      <c r="AL33" s="175"/>
      <c r="AM33" s="175"/>
      <c r="AN33" s="175"/>
      <c r="AO33" s="175"/>
      <c r="AP33" s="175"/>
      <c r="AQ33" s="175"/>
      <c r="AR33" s="175"/>
      <c r="AS33" s="175"/>
      <c r="AT33" s="175"/>
    </row>
    <row r="34" spans="1:46" ht="13.5" customHeight="1">
      <c r="A34" s="209"/>
      <c r="B34" s="216"/>
      <c r="C34" s="209"/>
      <c r="L34" s="217" t="str">
        <f>Texte!A84</f>
        <v>Affouragement libre service?</v>
      </c>
      <c r="M34" s="164"/>
      <c r="N34" s="218"/>
      <c r="O34" s="203"/>
      <c r="P34" s="203"/>
      <c r="Q34" s="203"/>
      <c r="R34" s="203"/>
      <c r="U34" s="515">
        <f>IF($M$34="",0,IF($M$34=$U$15,1.83,0))</f>
        <v>0</v>
      </c>
      <c r="V34" s="223"/>
      <c r="W34" s="224">
        <v>1000</v>
      </c>
      <c r="X34" s="225">
        <v>0</v>
      </c>
      <c r="Y34" s="225">
        <v>500</v>
      </c>
      <c r="Z34" s="205"/>
      <c r="AA34" s="210"/>
      <c r="AC34" s="168"/>
      <c r="AD34" s="167"/>
      <c r="AE34" s="206"/>
      <c r="AF34" s="166"/>
      <c r="AG34" s="169"/>
      <c r="AH34" s="203"/>
      <c r="AI34" s="203"/>
      <c r="AJ34" s="212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</row>
    <row r="35" spans="1:47" ht="12" customHeight="1">
      <c r="A35" s="219"/>
      <c r="B35" s="220"/>
      <c r="C35" s="220"/>
      <c r="D35" s="220"/>
      <c r="E35" s="220"/>
      <c r="F35" s="221"/>
      <c r="G35" s="221"/>
      <c r="H35" s="221"/>
      <c r="I35" s="221"/>
      <c r="J35" s="221"/>
      <c r="K35" s="221"/>
      <c r="L35" s="221"/>
      <c r="M35" s="221"/>
      <c r="N35" s="221"/>
      <c r="O35" s="179"/>
      <c r="P35" s="179"/>
      <c r="Q35" s="179"/>
      <c r="R35" s="179"/>
      <c r="S35" s="219"/>
      <c r="T35" s="219"/>
      <c r="U35" s="222"/>
      <c r="V35" s="223"/>
      <c r="W35" s="224">
        <v>2000</v>
      </c>
      <c r="X35" s="225">
        <v>0</v>
      </c>
      <c r="Y35" s="225">
        <v>500</v>
      </c>
      <c r="Z35" s="226"/>
      <c r="AA35" s="227"/>
      <c r="AB35" s="227"/>
      <c r="AC35" s="227"/>
      <c r="AD35" s="227"/>
      <c r="AE35" s="228"/>
      <c r="AF35" s="166"/>
      <c r="AG35" s="169"/>
      <c r="AJ35" s="166"/>
      <c r="AK35" s="212"/>
      <c r="AL35" s="175"/>
      <c r="AM35" s="175"/>
      <c r="AN35" s="175"/>
      <c r="AO35" s="175"/>
      <c r="AP35" s="175"/>
      <c r="AQ35" s="175"/>
      <c r="AR35" s="175"/>
      <c r="AS35" s="175"/>
      <c r="AT35" s="175"/>
      <c r="AU35" s="175"/>
    </row>
    <row r="36" spans="1:47" ht="12.75" customHeight="1">
      <c r="A36" s="229"/>
      <c r="B36" s="230"/>
      <c r="C36" s="231"/>
      <c r="D36" s="231"/>
      <c r="E36" s="231"/>
      <c r="F36" s="232"/>
      <c r="G36" s="232"/>
      <c r="H36" s="233"/>
      <c r="J36" s="234"/>
      <c r="K36" s="235" t="str">
        <f>Texte!A97</f>
        <v>Consommation</v>
      </c>
      <c r="L36" s="236"/>
      <c r="M36" s="235" t="str">
        <f>Texte!A103</f>
        <v>Consommation</v>
      </c>
      <c r="N36" s="235" t="str">
        <f>Texte!A108</f>
        <v>Estivage</v>
      </c>
      <c r="O36" s="634"/>
      <c r="P36" s="635"/>
      <c r="Q36" s="634"/>
      <c r="R36" s="237"/>
      <c r="S36" s="219"/>
      <c r="T36" s="219"/>
      <c r="U36" s="222"/>
      <c r="V36" s="222"/>
      <c r="W36" s="224">
        <v>3000</v>
      </c>
      <c r="X36" s="225">
        <v>0</v>
      </c>
      <c r="Y36" s="225">
        <v>500</v>
      </c>
      <c r="Z36" s="223"/>
      <c r="AA36" s="219"/>
      <c r="AB36" s="219"/>
      <c r="AC36" s="219"/>
      <c r="AD36" s="219"/>
      <c r="AE36" s="219"/>
      <c r="AF36" s="166"/>
      <c r="AG36" s="169"/>
      <c r="AJ36" s="166"/>
      <c r="AK36" s="212"/>
      <c r="AL36" s="238"/>
      <c r="AM36" s="175"/>
      <c r="AN36" s="175"/>
      <c r="AO36" s="239"/>
      <c r="AP36" s="175"/>
      <c r="AQ36" s="175"/>
      <c r="AR36" s="175"/>
      <c r="AS36" s="175"/>
      <c r="AT36" s="175"/>
      <c r="AU36" s="175"/>
    </row>
    <row r="37" spans="1:47" ht="12.75" customHeight="1">
      <c r="A37" s="240"/>
      <c r="B37" s="241"/>
      <c r="C37" s="242"/>
      <c r="D37" s="242"/>
      <c r="E37" s="242"/>
      <c r="F37" s="243"/>
      <c r="H37" s="244" t="str">
        <f>Texte!A90</f>
        <v>Déduction /</v>
      </c>
      <c r="I37" s="245"/>
      <c r="J37" s="246" t="str">
        <f>Texte!A94</f>
        <v>Nbre</v>
      </c>
      <c r="K37" s="247" t="str">
        <f>Texte!A98</f>
        <v>de fourrages</v>
      </c>
      <c r="L37" s="248"/>
      <c r="M37" s="249" t="str">
        <f>Texte!A104</f>
        <v>de concentrés</v>
      </c>
      <c r="N37" s="636"/>
      <c r="O37" s="637"/>
      <c r="P37" s="638"/>
      <c r="Q37" s="639"/>
      <c r="R37" s="250"/>
      <c r="S37" s="253"/>
      <c r="T37" s="253"/>
      <c r="U37" s="222"/>
      <c r="V37" s="222"/>
      <c r="W37" s="224">
        <v>4000</v>
      </c>
      <c r="X37" s="225">
        <v>0</v>
      </c>
      <c r="Y37" s="225">
        <v>500</v>
      </c>
      <c r="Z37" s="223"/>
      <c r="AA37" s="219"/>
      <c r="AB37" s="254"/>
      <c r="AC37" s="219"/>
      <c r="AD37" s="219"/>
      <c r="AE37" s="219"/>
      <c r="AF37" s="166"/>
      <c r="AG37" s="169"/>
      <c r="AJ37" s="166"/>
      <c r="AK37" s="212"/>
      <c r="AL37" s="792"/>
      <c r="AM37" s="793"/>
      <c r="AN37" s="793"/>
      <c r="AO37" s="794"/>
      <c r="AP37" s="175"/>
      <c r="AQ37" s="175"/>
      <c r="AR37" s="175"/>
      <c r="AS37" s="175"/>
      <c r="AT37" s="175"/>
      <c r="AU37" s="175"/>
    </row>
    <row r="38" spans="1:46" ht="12.75" customHeight="1">
      <c r="A38" s="229"/>
      <c r="B38" s="256" t="str">
        <f>Texte!A87</f>
        <v>Catégorie d'animal</v>
      </c>
      <c r="C38" s="242"/>
      <c r="D38" s="242"/>
      <c r="E38" s="242"/>
      <c r="F38" s="243" t="str">
        <f>Texte!A88</f>
        <v>Unité</v>
      </c>
      <c r="G38" s="243" t="str">
        <f>Texte!A89</f>
        <v>Nbre</v>
      </c>
      <c r="H38" s="244" t="str">
        <f>Texte!A91</f>
        <v>supplément.</v>
      </c>
      <c r="I38" s="257"/>
      <c r="J38" s="246" t="str">
        <f>Texte!A95</f>
        <v>corrigé</v>
      </c>
      <c r="K38" s="258" t="str">
        <f>Texte!A102</f>
        <v>dt MS</v>
      </c>
      <c r="L38" s="258" t="str">
        <f>Texte!A102</f>
        <v>dt MS</v>
      </c>
      <c r="M38" s="246" t="str">
        <f>Texte!A100</f>
        <v>dt MF</v>
      </c>
      <c r="N38" s="632" t="str">
        <f>Texte!A109</f>
        <v>Nbre</v>
      </c>
      <c r="O38" s="633" t="str">
        <f>Texte!A111</f>
        <v>Nbre</v>
      </c>
      <c r="P38" s="633" t="str">
        <f>Texte!A113</f>
        <v>jours d'estivage</v>
      </c>
      <c r="Q38" s="632" t="str">
        <f>Texte!A115</f>
        <v>c. de fourrages</v>
      </c>
      <c r="R38" s="632" t="str">
        <f>Texte!A116</f>
        <v>concentrés</v>
      </c>
      <c r="S38" s="259"/>
      <c r="T38" s="259"/>
      <c r="U38" s="154"/>
      <c r="V38" s="222"/>
      <c r="W38" s="224">
        <v>5000</v>
      </c>
      <c r="X38" s="225">
        <v>0</v>
      </c>
      <c r="Y38" s="225">
        <v>500</v>
      </c>
      <c r="Z38" s="260"/>
      <c r="AA38" s="261"/>
      <c r="AB38" s="261"/>
      <c r="AC38" s="262"/>
      <c r="AD38" s="51"/>
      <c r="AE38" s="261"/>
      <c r="AF38" s="166"/>
      <c r="AG38" s="169"/>
      <c r="AJ38" s="166"/>
      <c r="AK38" s="212"/>
      <c r="AL38" s="175"/>
      <c r="AM38" s="175"/>
      <c r="AN38" s="175"/>
      <c r="AO38" s="175"/>
      <c r="AP38" s="175"/>
      <c r="AQ38" s="175"/>
      <c r="AR38" s="175"/>
      <c r="AS38" s="175"/>
      <c r="AT38" s="175"/>
    </row>
    <row r="39" spans="1:51" ht="12.75" customHeight="1">
      <c r="A39" s="229"/>
      <c r="B39" s="263"/>
      <c r="C39" s="264"/>
      <c r="D39" s="264"/>
      <c r="E39" s="264"/>
      <c r="F39" s="265"/>
      <c r="G39" s="265"/>
      <c r="H39" s="266" t="str">
        <f>Texte!A92</f>
        <v>± bêtes</v>
      </c>
      <c r="I39" s="267" t="str">
        <f>Texte!A93</f>
        <v>jours</v>
      </c>
      <c r="J39" s="741">
        <f>Texte!A96</f>
        <v>0</v>
      </c>
      <c r="K39" s="269" t="str">
        <f>Texte!A99</f>
        <v>par an</v>
      </c>
      <c r="L39" s="269" t="str">
        <f>Texte!A101</f>
        <v>total</v>
      </c>
      <c r="M39" s="268" t="str">
        <f>Texte!A101</f>
        <v>total</v>
      </c>
      <c r="N39" s="268" t="str">
        <f>Texte!A110</f>
        <v>bêtes</v>
      </c>
      <c r="O39" s="269" t="str">
        <f>Texte!A112</f>
        <v>jours</v>
      </c>
      <c r="P39" s="269" t="str">
        <f>Texte!A114</f>
        <v>total</v>
      </c>
      <c r="Q39" s="268" t="str">
        <f>Texte!A117</f>
        <v>dt MS total</v>
      </c>
      <c r="R39" s="268" t="str">
        <f>Texte!A118</f>
        <v>dt MF total</v>
      </c>
      <c r="S39" s="259"/>
      <c r="T39" s="259"/>
      <c r="U39" s="270"/>
      <c r="V39" s="281"/>
      <c r="W39" s="224">
        <v>6000</v>
      </c>
      <c r="X39" s="225">
        <v>100</v>
      </c>
      <c r="Y39" s="225">
        <v>700</v>
      </c>
      <c r="Z39" s="271"/>
      <c r="AA39" s="261"/>
      <c r="AB39" s="261"/>
      <c r="AC39" s="272"/>
      <c r="AD39" s="261"/>
      <c r="AE39" s="261"/>
      <c r="AF39" s="166"/>
      <c r="AG39" s="169"/>
      <c r="AJ39" s="166"/>
      <c r="AK39" s="212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Y39" s="166">
        <v>0</v>
      </c>
    </row>
    <row r="40" spans="1:47" ht="12.75" customHeight="1">
      <c r="A40" s="229"/>
      <c r="B40" s="273" t="str">
        <f>Texte!A120</f>
        <v>Bovins</v>
      </c>
      <c r="C40" s="274"/>
      <c r="D40" s="274"/>
      <c r="E40" s="274"/>
      <c r="F40" s="274"/>
      <c r="G40" s="274"/>
      <c r="H40" s="274"/>
      <c r="I40" s="275"/>
      <c r="J40" s="276"/>
      <c r="K40" s="276"/>
      <c r="L40" s="276"/>
      <c r="M40" s="276"/>
      <c r="N40" s="276"/>
      <c r="O40" s="276"/>
      <c r="P40" s="276"/>
      <c r="Q40" s="276"/>
      <c r="R40" s="276"/>
      <c r="S40" s="259"/>
      <c r="T40" s="259"/>
      <c r="U40" s="270"/>
      <c r="V40" s="281"/>
      <c r="W40" s="224">
        <v>7000</v>
      </c>
      <c r="X40" s="225">
        <v>300</v>
      </c>
      <c r="Y40" s="225">
        <v>900</v>
      </c>
      <c r="Z40" s="271"/>
      <c r="AA40" s="261"/>
      <c r="AB40" s="261"/>
      <c r="AC40" s="272"/>
      <c r="AD40" s="261"/>
      <c r="AE40" s="261"/>
      <c r="AF40" s="166"/>
      <c r="AG40" s="169"/>
      <c r="AJ40" s="166"/>
      <c r="AK40" s="212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</row>
    <row r="41" spans="1:51" ht="12.75" customHeight="1">
      <c r="A41" s="277"/>
      <c r="B41" s="278" t="str">
        <f>Texte!A122</f>
        <v>Vache laitière</v>
      </c>
      <c r="C41" s="279"/>
      <c r="D41" s="571" t="str">
        <f>Texte!A121</f>
        <v>Prod. lait Ø kg/an</v>
      </c>
      <c r="E41" s="280"/>
      <c r="F41" s="2" t="str">
        <f>IF($B41="","",VLOOKUP($B41,Daten!$B$8:$E$58,2,FALSE))</f>
        <v>1 bête</v>
      </c>
      <c r="G41" s="107"/>
      <c r="H41" s="108"/>
      <c r="I41" s="108"/>
      <c r="J41" s="732">
        <f>IF(OR(AND(H41&lt;0,G41&lt;ABS(H41)),I41&gt;365),"!",G41+(H41*I41/365))</f>
        <v>0</v>
      </c>
      <c r="K41" s="732">
        <f>IF(E41&lt;=6500,58-(6500-E41)/100*0.58+U33+U34+Y46,58+(E41-6500)/100*0.12+U33+U34+Y46)</f>
        <v>20.300000000000004</v>
      </c>
      <c r="L41" s="737">
        <f aca="true" t="shared" si="0" ref="L41:L57">IF(J41&gt;0,J41*K41,"")</f>
      </c>
      <c r="M41" s="740">
        <f>F33</f>
        <v>0</v>
      </c>
      <c r="N41" s="108"/>
      <c r="O41" s="108"/>
      <c r="P41" s="737">
        <f>N41*O41</f>
        <v>0</v>
      </c>
      <c r="Q41" s="737">
        <f>IF($N41=0,"",IF(E41&lt;=6500,58-(6500-E41)/100*0.58,58+(E41-6500)/100*0.12)*$P41/365)</f>
      </c>
      <c r="R41" s="652"/>
      <c r="S41" s="51"/>
      <c r="T41" s="51"/>
      <c r="U41" s="150"/>
      <c r="V41" s="281"/>
      <c r="W41" s="224">
        <v>8000</v>
      </c>
      <c r="X41" s="225">
        <v>500</v>
      </c>
      <c r="Y41" s="225">
        <v>1100</v>
      </c>
      <c r="Z41" s="151"/>
      <c r="AA41" s="282"/>
      <c r="AB41" s="152"/>
      <c r="AC41" s="153"/>
      <c r="AD41" s="153"/>
      <c r="AE41" s="153"/>
      <c r="AF41" s="166"/>
      <c r="AG41" s="169"/>
      <c r="AJ41" s="166"/>
      <c r="AK41" s="212"/>
      <c r="AL41" s="238"/>
      <c r="AM41" s="175"/>
      <c r="AN41" s="175"/>
      <c r="AO41" s="239"/>
      <c r="AP41" s="175"/>
      <c r="AQ41" s="175"/>
      <c r="AR41" s="175"/>
      <c r="AS41" s="175"/>
      <c r="AT41" s="175"/>
      <c r="AU41" s="175"/>
      <c r="AY41" s="283">
        <v>50</v>
      </c>
    </row>
    <row r="42" spans="1:51" ht="12.75" customHeight="1">
      <c r="A42" s="277"/>
      <c r="B42" s="284" t="str">
        <f>Texte!A123</f>
        <v>Autre vache</v>
      </c>
      <c r="C42" s="285"/>
      <c r="D42" s="572" t="str">
        <f>Texte!A121</f>
        <v>Prod. lait Ø kg/an</v>
      </c>
      <c r="E42" s="286"/>
      <c r="F42" s="2" t="str">
        <f>IF($B42="","",VLOOKUP($B42,Daten!$B$8:$E$58,2,FALSE))</f>
        <v>1 bête</v>
      </c>
      <c r="G42" s="107"/>
      <c r="H42" s="109"/>
      <c r="I42" s="110"/>
      <c r="J42" s="732">
        <f aca="true" t="shared" si="1" ref="J42:J79">IF(OR(AND(H42&lt;0,G42&lt;ABS(H42)),I42&gt;365),"!",G42+(H42*I42/365))</f>
        <v>0</v>
      </c>
      <c r="K42" s="736">
        <f>IF(E42&lt;=6500,58-(6500-E42)/100*0.58+Y47,58+(E42-6500)/100*0.12+Y47)</f>
        <v>20.300000000000004</v>
      </c>
      <c r="L42" s="738">
        <f t="shared" si="0"/>
      </c>
      <c r="M42" s="109"/>
      <c r="N42" s="109"/>
      <c r="O42" s="110"/>
      <c r="P42" s="737">
        <f aca="true" t="shared" si="2" ref="P42:P65">N42*O42</f>
        <v>0</v>
      </c>
      <c r="Q42" s="738">
        <f aca="true" t="shared" si="3" ref="Q42:Q58">IF($N42=0,"",$K42*$P42/365)</f>
      </c>
      <c r="R42" s="303"/>
      <c r="S42" s="51"/>
      <c r="T42" s="51"/>
      <c r="U42" s="150"/>
      <c r="V42" s="281"/>
      <c r="W42" s="224">
        <v>9000</v>
      </c>
      <c r="X42" s="225">
        <v>700</v>
      </c>
      <c r="Y42" s="225">
        <v>1300</v>
      </c>
      <c r="Z42" s="151"/>
      <c r="AA42" s="282"/>
      <c r="AB42" s="152"/>
      <c r="AC42" s="153"/>
      <c r="AD42" s="153"/>
      <c r="AE42" s="153"/>
      <c r="AF42" s="166"/>
      <c r="AG42" s="169"/>
      <c r="AJ42" s="166"/>
      <c r="AK42" s="212"/>
      <c r="AL42" s="792"/>
      <c r="AM42" s="793"/>
      <c r="AN42" s="793"/>
      <c r="AO42" s="794"/>
      <c r="AP42" s="175"/>
      <c r="AQ42" s="175"/>
      <c r="AR42" s="175"/>
      <c r="AS42" s="175"/>
      <c r="AT42" s="175"/>
      <c r="AU42" s="175"/>
      <c r="AY42" s="283">
        <v>100</v>
      </c>
    </row>
    <row r="43" spans="1:46" ht="12.75" customHeight="1">
      <c r="A43" s="52"/>
      <c r="B43" s="284" t="str">
        <f>Texte!A128</f>
        <v>Bovin d'élevage, moins de 1 an</v>
      </c>
      <c r="C43" s="285"/>
      <c r="D43" s="285"/>
      <c r="E43" s="287"/>
      <c r="F43" s="2" t="str">
        <f>IF($B43="","",VLOOKUP($B43,Daten!$B$8:$E$58,2,FALSE))</f>
        <v>1 bête</v>
      </c>
      <c r="G43" s="107"/>
      <c r="H43" s="110"/>
      <c r="I43" s="110"/>
      <c r="J43" s="732">
        <f t="shared" si="1"/>
        <v>0</v>
      </c>
      <c r="K43" s="733">
        <f>IF($B43="","",VLOOKUP($B43,Daten!$B$8:$E$58,4,FALSE))</f>
        <v>11</v>
      </c>
      <c r="L43" s="738">
        <f t="shared" si="0"/>
      </c>
      <c r="M43" s="110"/>
      <c r="N43" s="110"/>
      <c r="O43" s="110"/>
      <c r="P43" s="737">
        <f t="shared" si="2"/>
        <v>0</v>
      </c>
      <c r="Q43" s="738">
        <f t="shared" si="3"/>
      </c>
      <c r="R43" s="303"/>
      <c r="S43" s="51"/>
      <c r="T43" s="51"/>
      <c r="U43" s="150"/>
      <c r="V43" s="281"/>
      <c r="W43" s="224">
        <v>10000</v>
      </c>
      <c r="X43" s="225">
        <v>900</v>
      </c>
      <c r="Y43" s="225">
        <v>1600</v>
      </c>
      <c r="Z43" s="151"/>
      <c r="AA43" s="282"/>
      <c r="AB43" s="152"/>
      <c r="AC43" s="153"/>
      <c r="AD43" s="153"/>
      <c r="AE43" s="153"/>
      <c r="AF43" s="166"/>
      <c r="AG43" s="169"/>
      <c r="AJ43" s="166"/>
      <c r="AK43" s="212"/>
      <c r="AL43" s="175"/>
      <c r="AM43" s="175"/>
      <c r="AN43" s="175"/>
      <c r="AO43" s="175"/>
      <c r="AP43" s="175"/>
      <c r="AQ43" s="175"/>
      <c r="AR43" s="175"/>
      <c r="AS43" s="175"/>
      <c r="AT43" s="175"/>
    </row>
    <row r="44" spans="1:47" ht="12.75" customHeight="1">
      <c r="A44" s="52"/>
      <c r="B44" s="284" t="str">
        <f>Texte!A129</f>
        <v>Bovin d'élevage, 1 à 2 ans</v>
      </c>
      <c r="C44" s="285"/>
      <c r="D44" s="285"/>
      <c r="E44" s="287"/>
      <c r="F44" s="2" t="str">
        <f>IF($B44="","",VLOOKUP($B44,Daten!$B$8:$E$58,2,FALSE))</f>
        <v>1 bête</v>
      </c>
      <c r="G44" s="107"/>
      <c r="H44" s="110"/>
      <c r="I44" s="110"/>
      <c r="J44" s="732">
        <f t="shared" si="1"/>
        <v>0</v>
      </c>
      <c r="K44" s="733">
        <f>IF($B44="","",VLOOKUP($B44,Daten!$B$8:$E$58,4,FALSE))</f>
        <v>22</v>
      </c>
      <c r="L44" s="738">
        <f t="shared" si="0"/>
      </c>
      <c r="M44" s="110"/>
      <c r="N44" s="110"/>
      <c r="O44" s="110"/>
      <c r="P44" s="737">
        <f t="shared" si="2"/>
        <v>0</v>
      </c>
      <c r="Q44" s="738">
        <f t="shared" si="3"/>
      </c>
      <c r="R44" s="303"/>
      <c r="S44" s="51"/>
      <c r="T44" s="51"/>
      <c r="U44" s="150"/>
      <c r="V44" s="281"/>
      <c r="W44" s="224">
        <v>11000</v>
      </c>
      <c r="X44" s="225">
        <v>1100</v>
      </c>
      <c r="Y44" s="225">
        <v>1900</v>
      </c>
      <c r="Z44" s="151"/>
      <c r="AA44" s="282"/>
      <c r="AB44" s="152"/>
      <c r="AC44" s="153"/>
      <c r="AD44" s="153"/>
      <c r="AE44" s="153"/>
      <c r="AF44" s="166"/>
      <c r="AG44" s="169"/>
      <c r="AJ44" s="166"/>
      <c r="AK44" s="212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</row>
    <row r="45" spans="1:47" ht="12.75" customHeight="1">
      <c r="A45" s="52"/>
      <c r="B45" s="284" t="str">
        <f>Texte!A130</f>
        <v>Génisse, plus de 2 ans</v>
      </c>
      <c r="C45" s="285"/>
      <c r="D45" s="285"/>
      <c r="E45" s="287"/>
      <c r="F45" s="2" t="str">
        <f>IF($B45="","",VLOOKUP($B45,Daten!$B$8:$E$58,2,FALSE))</f>
        <v>1 place</v>
      </c>
      <c r="G45" s="107"/>
      <c r="H45" s="110"/>
      <c r="I45" s="110"/>
      <c r="J45" s="732">
        <f>IF(I45&gt;365,"!",G45+(H45*I45/365))</f>
        <v>0</v>
      </c>
      <c r="K45" s="733">
        <f>IF($B45="","",VLOOKUP($B45,Daten!$B$8:$E$58,4,FALSE))</f>
        <v>33</v>
      </c>
      <c r="L45" s="738">
        <f t="shared" si="0"/>
      </c>
      <c r="M45" s="110"/>
      <c r="N45" s="110"/>
      <c r="O45" s="110"/>
      <c r="P45" s="737">
        <f t="shared" si="2"/>
        <v>0</v>
      </c>
      <c r="Q45" s="738">
        <f t="shared" si="3"/>
      </c>
      <c r="R45" s="303"/>
      <c r="S45" s="51"/>
      <c r="T45" s="51"/>
      <c r="U45" s="150"/>
      <c r="V45" s="281"/>
      <c r="W45" s="204"/>
      <c r="X45" s="349" t="s">
        <v>425</v>
      </c>
      <c r="Y45" s="515">
        <f>IF(G41=0,0,F33/J41*100)</f>
        <v>0</v>
      </c>
      <c r="Z45" s="151"/>
      <c r="AA45" s="282"/>
      <c r="AB45" s="152"/>
      <c r="AC45" s="153"/>
      <c r="AD45" s="153"/>
      <c r="AE45" s="153"/>
      <c r="AF45" s="166"/>
      <c r="AG45" s="169"/>
      <c r="AJ45" s="166"/>
      <c r="AK45" s="212"/>
      <c r="AL45" s="238"/>
      <c r="AM45" s="175"/>
      <c r="AN45" s="175"/>
      <c r="AO45" s="239"/>
      <c r="AP45" s="175"/>
      <c r="AQ45" s="175"/>
      <c r="AR45" s="175"/>
      <c r="AS45" s="175"/>
      <c r="AT45" s="175"/>
      <c r="AU45" s="175"/>
    </row>
    <row r="46" spans="1:47" ht="12.75" customHeight="1">
      <c r="A46" s="52"/>
      <c r="B46" s="284" t="str">
        <f>Texte!A139</f>
        <v>Taureau d'élevage</v>
      </c>
      <c r="C46" s="285"/>
      <c r="D46" s="285"/>
      <c r="E46" s="287"/>
      <c r="F46" s="2" t="str">
        <f>IF($B46="","",VLOOKUP($B46,Daten!$B$8:$E$58,2,FALSE))</f>
        <v>1 bête</v>
      </c>
      <c r="G46" s="107"/>
      <c r="H46" s="110"/>
      <c r="I46" s="110"/>
      <c r="J46" s="732">
        <f t="shared" si="1"/>
        <v>0</v>
      </c>
      <c r="K46" s="733">
        <f>IF($B46="","",VLOOKUP($B46,Daten!$B$8:$E$58,4,FALSE))</f>
        <v>30</v>
      </c>
      <c r="L46" s="738">
        <f t="shared" si="0"/>
      </c>
      <c r="M46" s="110"/>
      <c r="N46" s="110"/>
      <c r="O46" s="110"/>
      <c r="P46" s="737">
        <f t="shared" si="2"/>
        <v>0</v>
      </c>
      <c r="Q46" s="738">
        <f t="shared" si="3"/>
      </c>
      <c r="R46" s="303"/>
      <c r="S46" s="51"/>
      <c r="T46" s="51"/>
      <c r="U46" s="150"/>
      <c r="X46" s="151" t="s">
        <v>858</v>
      </c>
      <c r="Y46" s="515">
        <f>IF(Y45&lt;Y51,(Y51-Y45)*1.2,IF(Y45&gt;Y52,(Y45-Y52)*-1.2,0))/100</f>
        <v>0</v>
      </c>
      <c r="Z46" s="151"/>
      <c r="AA46" s="282"/>
      <c r="AB46" s="152"/>
      <c r="AC46" s="153"/>
      <c r="AD46" s="153"/>
      <c r="AE46" s="153"/>
      <c r="AF46" s="166"/>
      <c r="AG46" s="169"/>
      <c r="AJ46" s="166"/>
      <c r="AK46" s="212"/>
      <c r="AL46" s="792"/>
      <c r="AM46" s="793"/>
      <c r="AN46" s="793"/>
      <c r="AO46" s="794"/>
      <c r="AP46" s="175"/>
      <c r="AQ46" s="175"/>
      <c r="AR46" s="175"/>
      <c r="AS46" s="175"/>
      <c r="AT46" s="175"/>
      <c r="AU46" s="175"/>
    </row>
    <row r="47" spans="1:46" ht="12.75" customHeight="1">
      <c r="A47" s="52"/>
      <c r="B47" s="288" t="str">
        <f>Texte!A131</f>
        <v>Veau à l'engrais, 50-200 kg</v>
      </c>
      <c r="C47" s="285"/>
      <c r="D47" s="285"/>
      <c r="E47" s="287"/>
      <c r="F47" s="2" t="str">
        <f>IF($B47="","",VLOOKUP($B47,Daten!$B$8:$E$58,2,FALSE))</f>
        <v>1 place</v>
      </c>
      <c r="G47" s="107"/>
      <c r="H47" s="110"/>
      <c r="I47" s="110"/>
      <c r="J47" s="732">
        <f t="shared" si="1"/>
        <v>0</v>
      </c>
      <c r="K47" s="733">
        <f>IF($B47="","",VLOOKUP($B47,Daten!$B$8:$E$58,4,FALSE))</f>
        <v>1.2</v>
      </c>
      <c r="L47" s="738">
        <f t="shared" si="0"/>
      </c>
      <c r="M47" s="110"/>
      <c r="N47" s="110"/>
      <c r="O47" s="110"/>
      <c r="P47" s="737">
        <f t="shared" si="2"/>
        <v>0</v>
      </c>
      <c r="Q47" s="738">
        <f t="shared" si="3"/>
      </c>
      <c r="R47" s="303"/>
      <c r="S47" s="51"/>
      <c r="T47" s="51"/>
      <c r="U47" s="150"/>
      <c r="X47" s="151" t="s">
        <v>859</v>
      </c>
      <c r="Y47" s="515">
        <f>IF(Y48&lt;Y55,(Y55-Y48)*1.2,IF(Y48&gt;Y56,(Y48-Y56)*-1.2,0))/100</f>
        <v>0</v>
      </c>
      <c r="Z47" s="151"/>
      <c r="AA47" s="282"/>
      <c r="AB47" s="152"/>
      <c r="AC47" s="153"/>
      <c r="AD47" s="153"/>
      <c r="AE47" s="153"/>
      <c r="AF47" s="166"/>
      <c r="AG47" s="169"/>
      <c r="AJ47" s="166"/>
      <c r="AK47" s="212"/>
      <c r="AL47" s="175"/>
      <c r="AM47" s="175"/>
      <c r="AN47" s="175"/>
      <c r="AO47" s="175"/>
      <c r="AP47" s="175"/>
      <c r="AQ47" s="175"/>
      <c r="AR47" s="175"/>
      <c r="AS47" s="175"/>
      <c r="AT47" s="175"/>
    </row>
    <row r="48" spans="1:46" ht="12.75" customHeight="1">
      <c r="A48" s="52"/>
      <c r="B48" s="288" t="str">
        <f>Texte!A126</f>
        <v>Vache mère légère (PV &lt;600 kg), sans veau</v>
      </c>
      <c r="C48" s="285"/>
      <c r="D48" s="285"/>
      <c r="E48" s="287"/>
      <c r="F48" s="2" t="str">
        <f>IF($B48="","",VLOOKUP($B48,Daten!$B$8:$E$58,2,FALSE))</f>
        <v>1 bête</v>
      </c>
      <c r="G48" s="107"/>
      <c r="H48" s="110"/>
      <c r="I48" s="110"/>
      <c r="J48" s="732">
        <f t="shared" si="1"/>
        <v>0</v>
      </c>
      <c r="K48" s="733">
        <f>IF($B48="","",VLOOKUP($B48,Daten!$B$8:$E$58,4,FALSE))</f>
        <v>38</v>
      </c>
      <c r="L48" s="738">
        <f t="shared" si="0"/>
      </c>
      <c r="M48" s="110"/>
      <c r="N48" s="110"/>
      <c r="O48" s="110"/>
      <c r="P48" s="737">
        <f t="shared" si="2"/>
        <v>0</v>
      </c>
      <c r="Q48" s="738">
        <f t="shared" si="3"/>
      </c>
      <c r="R48" s="303"/>
      <c r="S48" s="51"/>
      <c r="T48" s="51"/>
      <c r="U48" s="729"/>
      <c r="X48" s="349" t="s">
        <v>832</v>
      </c>
      <c r="Y48" s="515">
        <f>IF(G42=0,0,M42/J42*100)</f>
        <v>0</v>
      </c>
      <c r="Z48" s="151"/>
      <c r="AA48" s="282"/>
      <c r="AB48" s="152"/>
      <c r="AC48" s="153"/>
      <c r="AD48" s="153"/>
      <c r="AE48" s="153"/>
      <c r="AF48" s="166"/>
      <c r="AG48" s="169"/>
      <c r="AJ48" s="166"/>
      <c r="AK48" s="212"/>
      <c r="AL48" s="175"/>
      <c r="AM48" s="175"/>
      <c r="AN48" s="175"/>
      <c r="AO48" s="175"/>
      <c r="AP48" s="175"/>
      <c r="AQ48" s="175"/>
      <c r="AR48" s="175"/>
      <c r="AS48" s="175"/>
      <c r="AT48" s="175"/>
    </row>
    <row r="49" spans="1:47" ht="12.75" customHeight="1">
      <c r="A49" s="52"/>
      <c r="B49" s="288" t="str">
        <f>Texte!A125</f>
        <v>Vache mère moyenne (PV 600-700 kg), sans veau</v>
      </c>
      <c r="C49" s="285"/>
      <c r="D49" s="285"/>
      <c r="E49" s="287"/>
      <c r="F49" s="2" t="str">
        <f>IF($B49="","",VLOOKUP($B49,Daten!$B$8:$E$58,2,FALSE))</f>
        <v>1 bête</v>
      </c>
      <c r="G49" s="107"/>
      <c r="H49" s="110"/>
      <c r="I49" s="110"/>
      <c r="J49" s="732">
        <f t="shared" si="1"/>
        <v>0</v>
      </c>
      <c r="K49" s="733">
        <f>IF($B49="","",VLOOKUP($B49,Daten!$B$8:$E$58,4,FALSE))</f>
        <v>45</v>
      </c>
      <c r="L49" s="738">
        <f t="shared" si="0"/>
      </c>
      <c r="M49" s="110"/>
      <c r="N49" s="110"/>
      <c r="O49" s="110"/>
      <c r="P49" s="737">
        <f t="shared" si="2"/>
        <v>0</v>
      </c>
      <c r="Q49" s="738">
        <f t="shared" si="3"/>
      </c>
      <c r="R49" s="303"/>
      <c r="S49" s="51"/>
      <c r="T49" s="51"/>
      <c r="Z49" s="151"/>
      <c r="AA49" s="282"/>
      <c r="AB49" s="152"/>
      <c r="AC49" s="153"/>
      <c r="AD49" s="153"/>
      <c r="AE49" s="153"/>
      <c r="AF49" s="166"/>
      <c r="AG49" s="169"/>
      <c r="AJ49" s="166"/>
      <c r="AK49" s="212"/>
      <c r="AL49" s="175"/>
      <c r="AM49" s="175"/>
      <c r="AN49" s="175"/>
      <c r="AO49" s="175"/>
      <c r="AP49" s="175"/>
      <c r="AQ49" s="175"/>
      <c r="AR49" s="175"/>
      <c r="AS49" s="175"/>
      <c r="AT49" s="175"/>
      <c r="AU49" s="175"/>
    </row>
    <row r="50" spans="1:47" ht="12.75" customHeight="1">
      <c r="A50" s="52"/>
      <c r="B50" s="288" t="str">
        <f>Texte!A132</f>
        <v>Veau allaité jusqu'à env. 350 kg PV</v>
      </c>
      <c r="C50" s="285"/>
      <c r="D50" s="285"/>
      <c r="E50" s="287"/>
      <c r="F50" s="2" t="str">
        <f>IF($B50="","",VLOOKUP($B50,Daten!$B$8:$E$58,2,FALSE))</f>
        <v>1 place</v>
      </c>
      <c r="G50" s="107"/>
      <c r="H50" s="110"/>
      <c r="I50" s="110"/>
      <c r="J50" s="732">
        <f t="shared" si="1"/>
        <v>0</v>
      </c>
      <c r="K50" s="733">
        <f>IF($B50="","",VLOOKUP($B50,Daten!$B$8:$E$58,4,FALSE))</f>
        <v>13.2</v>
      </c>
      <c r="L50" s="738">
        <f t="shared" si="0"/>
      </c>
      <c r="M50" s="110"/>
      <c r="N50" s="110"/>
      <c r="O50" s="110"/>
      <c r="P50" s="737">
        <f t="shared" si="2"/>
        <v>0</v>
      </c>
      <c r="Q50" s="738">
        <f t="shared" si="3"/>
      </c>
      <c r="R50" s="303"/>
      <c r="S50" s="51"/>
      <c r="T50" s="51"/>
      <c r="X50" s="151"/>
      <c r="Y50" s="289"/>
      <c r="Z50" s="151"/>
      <c r="AA50" s="282"/>
      <c r="AB50" s="152"/>
      <c r="AC50" s="153"/>
      <c r="AD50" s="153"/>
      <c r="AE50" s="153"/>
      <c r="AF50" s="166"/>
      <c r="AG50" s="169"/>
      <c r="AJ50" s="166"/>
      <c r="AK50" s="212"/>
      <c r="AL50" s="238"/>
      <c r="AM50" s="175"/>
      <c r="AN50" s="175"/>
      <c r="AO50" s="239"/>
      <c r="AP50" s="175"/>
      <c r="AQ50" s="175"/>
      <c r="AR50" s="175"/>
      <c r="AS50" s="175"/>
      <c r="AT50" s="175"/>
      <c r="AU50" s="175"/>
    </row>
    <row r="51" spans="1:47" ht="12.75" customHeight="1">
      <c r="A51" s="52"/>
      <c r="B51" s="288" t="str">
        <f>Texte!A124</f>
        <v>Vache mère lourde (PV 700-800 kg), sans veau</v>
      </c>
      <c r="C51" s="285"/>
      <c r="D51" s="285"/>
      <c r="E51" s="287"/>
      <c r="F51" s="2" t="str">
        <f>IF($B51="","",VLOOKUP($B51,Daten!$B$8:$E$58,2,FALSE))</f>
        <v>1 bête</v>
      </c>
      <c r="G51" s="107"/>
      <c r="H51" s="110"/>
      <c r="I51" s="110"/>
      <c r="J51" s="732">
        <f t="shared" si="1"/>
        <v>0</v>
      </c>
      <c r="K51" s="733">
        <f>IF($B51="","",VLOOKUP($B51,Daten!$B$8:$E$58,4,FALSE))</f>
        <v>50</v>
      </c>
      <c r="L51" s="738">
        <f t="shared" si="0"/>
      </c>
      <c r="M51" s="110"/>
      <c r="N51" s="110"/>
      <c r="O51" s="110"/>
      <c r="P51" s="737">
        <f t="shared" si="2"/>
        <v>0</v>
      </c>
      <c r="Q51" s="738">
        <f t="shared" si="3"/>
      </c>
      <c r="R51" s="303"/>
      <c r="S51" s="51"/>
      <c r="T51" s="51"/>
      <c r="X51" s="151" t="s">
        <v>856</v>
      </c>
      <c r="Y51" s="515">
        <f>LOOKUP($E$41,W33:W44,X33:X44)</f>
        <v>0</v>
      </c>
      <c r="Z51" s="151"/>
      <c r="AA51" s="282"/>
      <c r="AB51" s="152"/>
      <c r="AC51" s="153"/>
      <c r="AD51" s="153"/>
      <c r="AE51" s="153"/>
      <c r="AF51" s="166"/>
      <c r="AG51" s="169"/>
      <c r="AJ51" s="166"/>
      <c r="AK51" s="212"/>
      <c r="AL51" s="792"/>
      <c r="AM51" s="793"/>
      <c r="AN51" s="793"/>
      <c r="AO51" s="794"/>
      <c r="AP51" s="175"/>
      <c r="AQ51" s="175"/>
      <c r="AR51" s="175"/>
      <c r="AS51" s="175"/>
      <c r="AT51" s="175"/>
      <c r="AU51" s="175"/>
    </row>
    <row r="52" spans="1:46" ht="12.75" customHeight="1">
      <c r="A52" s="52"/>
      <c r="B52" s="288" t="str">
        <f>Texte!A133</f>
        <v>Veau allaité jusqu'à env. 400 kg PV</v>
      </c>
      <c r="C52" s="285"/>
      <c r="D52" s="285"/>
      <c r="E52" s="287"/>
      <c r="F52" s="2" t="str">
        <f>IF($B52="","",VLOOKUP($B52,Daten!$B$8:$E$58,2,FALSE))</f>
        <v>1 place</v>
      </c>
      <c r="G52" s="107"/>
      <c r="H52" s="110"/>
      <c r="I52" s="110"/>
      <c r="J52" s="732">
        <f t="shared" si="1"/>
        <v>0</v>
      </c>
      <c r="K52" s="733">
        <f>IF($B52="","",VLOOKUP($B52,Daten!$B$8:$E$58,4,FALSE))</f>
        <v>19.2</v>
      </c>
      <c r="L52" s="738">
        <f t="shared" si="0"/>
      </c>
      <c r="M52" s="110"/>
      <c r="N52" s="110"/>
      <c r="O52" s="110"/>
      <c r="P52" s="737">
        <f t="shared" si="2"/>
        <v>0</v>
      </c>
      <c r="Q52" s="738">
        <f t="shared" si="3"/>
      </c>
      <c r="R52" s="303"/>
      <c r="S52" s="51"/>
      <c r="T52" s="51"/>
      <c r="X52" s="151"/>
      <c r="Y52" s="515">
        <f>LOOKUP($E$41,W33:W44,Y33:Y44)</f>
        <v>500</v>
      </c>
      <c r="Z52" s="151"/>
      <c r="AA52" s="282"/>
      <c r="AB52" s="152"/>
      <c r="AC52" s="153"/>
      <c r="AD52" s="153"/>
      <c r="AE52" s="153"/>
      <c r="AF52" s="166"/>
      <c r="AG52" s="169"/>
      <c r="AJ52" s="166"/>
      <c r="AK52" s="212"/>
      <c r="AL52" s="175"/>
      <c r="AM52" s="175"/>
      <c r="AN52" s="175"/>
      <c r="AO52" s="175"/>
      <c r="AP52" s="175"/>
      <c r="AQ52" s="175"/>
      <c r="AR52" s="175"/>
      <c r="AS52" s="175"/>
      <c r="AT52" s="175"/>
    </row>
    <row r="53" spans="1:47" ht="12.75" customHeight="1">
      <c r="A53" s="52"/>
      <c r="B53" s="288" t="str">
        <f>Texte!A127</f>
        <v>Vache nourrice, 2 veaux par an, sans veau</v>
      </c>
      <c r="C53" s="285"/>
      <c r="D53" s="285"/>
      <c r="E53" s="287"/>
      <c r="F53" s="2" t="str">
        <f>IF($B53="","",VLOOKUP($B53,Daten!$B$8:$E$58,2,FALSE))</f>
        <v>1 bête</v>
      </c>
      <c r="G53" s="107"/>
      <c r="H53" s="110"/>
      <c r="I53" s="110"/>
      <c r="J53" s="732">
        <f t="shared" si="1"/>
        <v>0</v>
      </c>
      <c r="K53" s="733">
        <f>IF($B53="","",VLOOKUP($B53,Daten!$B$8:$E$58,4,FALSE))</f>
        <v>45</v>
      </c>
      <c r="L53" s="738">
        <f t="shared" si="0"/>
      </c>
      <c r="M53" s="110"/>
      <c r="N53" s="110"/>
      <c r="O53" s="110"/>
      <c r="P53" s="737">
        <f t="shared" si="2"/>
        <v>0</v>
      </c>
      <c r="Q53" s="738">
        <f t="shared" si="3"/>
      </c>
      <c r="R53" s="303"/>
      <c r="S53" s="51"/>
      <c r="T53" s="51"/>
      <c r="X53" s="151"/>
      <c r="Y53" s="291"/>
      <c r="Z53" s="151"/>
      <c r="AA53" s="282"/>
      <c r="AB53" s="152"/>
      <c r="AC53" s="153"/>
      <c r="AD53" s="153"/>
      <c r="AE53" s="153"/>
      <c r="AF53" s="166"/>
      <c r="AG53" s="169"/>
      <c r="AJ53" s="166"/>
      <c r="AK53" s="212"/>
      <c r="AL53" s="175"/>
      <c r="AM53" s="175"/>
      <c r="AN53" s="175"/>
      <c r="AO53" s="175"/>
      <c r="AP53" s="175"/>
      <c r="AQ53" s="175"/>
      <c r="AR53" s="175"/>
      <c r="AS53" s="175"/>
      <c r="AT53" s="175"/>
      <c r="AU53" s="175"/>
    </row>
    <row r="54" spans="1:47" ht="12.75" customHeight="1">
      <c r="A54" s="52"/>
      <c r="B54" s="782"/>
      <c r="C54" s="783"/>
      <c r="D54" s="783"/>
      <c r="E54" s="784"/>
      <c r="F54" s="2">
        <f>IF($B54="","",VLOOKUP($B54,Daten!$B$8:$E$58,2,FALSE))</f>
      </c>
      <c r="G54" s="107"/>
      <c r="H54" s="110"/>
      <c r="I54" s="110"/>
      <c r="J54" s="732">
        <f t="shared" si="1"/>
        <v>0</v>
      </c>
      <c r="K54" s="733">
        <f>IF($B54="","",VLOOKUP($B54,Daten!$B$8:$E$58,4,FALSE))</f>
      </c>
      <c r="L54" s="738">
        <f t="shared" si="0"/>
      </c>
      <c r="M54" s="110"/>
      <c r="N54" s="110"/>
      <c r="O54" s="110"/>
      <c r="P54" s="737">
        <f t="shared" si="2"/>
        <v>0</v>
      </c>
      <c r="Q54" s="738">
        <f t="shared" si="3"/>
      </c>
      <c r="R54" s="303"/>
      <c r="S54" s="51"/>
      <c r="T54" s="51"/>
      <c r="X54" s="151"/>
      <c r="Y54" s="289"/>
      <c r="Z54" s="151"/>
      <c r="AA54" s="282"/>
      <c r="AB54" s="152"/>
      <c r="AC54" s="153"/>
      <c r="AD54" s="153"/>
      <c r="AE54" s="153"/>
      <c r="AF54" s="166"/>
      <c r="AG54" s="169"/>
      <c r="AJ54" s="166"/>
      <c r="AK54" s="212"/>
      <c r="AL54" s="238"/>
      <c r="AM54" s="175"/>
      <c r="AN54" s="175"/>
      <c r="AO54" s="239"/>
      <c r="AP54" s="175"/>
      <c r="AQ54" s="175"/>
      <c r="AR54" s="175"/>
      <c r="AS54" s="175"/>
      <c r="AT54" s="175"/>
      <c r="AU54" s="175"/>
    </row>
    <row r="55" spans="1:47" ht="12.75" customHeight="1">
      <c r="A55" s="292"/>
      <c r="B55" s="782"/>
      <c r="C55" s="783"/>
      <c r="D55" s="783"/>
      <c r="E55" s="784"/>
      <c r="F55" s="2">
        <f>IF($B55="","",VLOOKUP($B55,Daten!$B$8:$E$58,2,FALSE))</f>
      </c>
      <c r="G55" s="107"/>
      <c r="H55" s="110"/>
      <c r="I55" s="110"/>
      <c r="J55" s="732">
        <f t="shared" si="1"/>
        <v>0</v>
      </c>
      <c r="K55" s="733">
        <f>IF($B55="","",VLOOKUP($B55,Daten!$B$8:$E$58,4,FALSE))</f>
      </c>
      <c r="L55" s="738">
        <f t="shared" si="0"/>
      </c>
      <c r="M55" s="110"/>
      <c r="N55" s="110"/>
      <c r="O55" s="110"/>
      <c r="P55" s="737">
        <f t="shared" si="2"/>
        <v>0</v>
      </c>
      <c r="Q55" s="738">
        <f t="shared" si="3"/>
      </c>
      <c r="R55" s="303"/>
      <c r="S55" s="51"/>
      <c r="T55" s="51"/>
      <c r="X55" s="151" t="s">
        <v>855</v>
      </c>
      <c r="Y55" s="515">
        <f>LOOKUP($E$42,$W33:$W44,$X33:$X44)</f>
        <v>0</v>
      </c>
      <c r="Z55" s="151"/>
      <c r="AA55" s="282"/>
      <c r="AB55" s="152"/>
      <c r="AC55" s="153"/>
      <c r="AD55" s="153"/>
      <c r="AE55" s="153"/>
      <c r="AF55" s="166"/>
      <c r="AG55" s="169"/>
      <c r="AJ55" s="166"/>
      <c r="AK55" s="212"/>
      <c r="AL55" s="792"/>
      <c r="AM55" s="793"/>
      <c r="AN55" s="793"/>
      <c r="AO55" s="794"/>
      <c r="AP55" s="175"/>
      <c r="AQ55" s="175"/>
      <c r="AR55" s="175"/>
      <c r="AS55" s="175"/>
      <c r="AT55" s="175"/>
      <c r="AU55" s="175"/>
    </row>
    <row r="56" spans="1:46" ht="12.75" customHeight="1">
      <c r="A56" s="292"/>
      <c r="B56" s="782"/>
      <c r="C56" s="790"/>
      <c r="D56" s="790"/>
      <c r="E56" s="791"/>
      <c r="F56" s="2">
        <f>IF($B56="","",VLOOKUP($B56,Daten!$B$8:$E$58,2,FALSE))</f>
      </c>
      <c r="G56" s="107"/>
      <c r="H56" s="110"/>
      <c r="I56" s="110"/>
      <c r="J56" s="732">
        <f t="shared" si="1"/>
        <v>0</v>
      </c>
      <c r="K56" s="733">
        <f>IF($B56="","",VLOOKUP($B56,Daten!$B$8:$E$58,4,FALSE))</f>
      </c>
      <c r="L56" s="738">
        <f t="shared" si="0"/>
      </c>
      <c r="M56" s="110"/>
      <c r="N56" s="110"/>
      <c r="O56" s="110"/>
      <c r="P56" s="737">
        <f t="shared" si="2"/>
        <v>0</v>
      </c>
      <c r="Q56" s="738">
        <f t="shared" si="3"/>
      </c>
      <c r="R56" s="303"/>
      <c r="S56" s="51"/>
      <c r="T56" s="51"/>
      <c r="X56" s="281"/>
      <c r="Y56" s="515">
        <f>LOOKUP($E$42,$W33:$W44,$Y33:$Y44)</f>
        <v>500</v>
      </c>
      <c r="Z56" s="151"/>
      <c r="AA56" s="282"/>
      <c r="AB56" s="152"/>
      <c r="AC56" s="153"/>
      <c r="AD56" s="153"/>
      <c r="AE56" s="153"/>
      <c r="AF56" s="166"/>
      <c r="AG56" s="169"/>
      <c r="AJ56" s="166"/>
      <c r="AK56" s="212"/>
      <c r="AL56" s="175"/>
      <c r="AM56" s="175"/>
      <c r="AN56" s="175"/>
      <c r="AO56" s="175"/>
      <c r="AP56" s="175"/>
      <c r="AQ56" s="175"/>
      <c r="AR56" s="175"/>
      <c r="AS56" s="175"/>
      <c r="AT56" s="175"/>
    </row>
    <row r="57" spans="1:47" ht="12.75" customHeight="1">
      <c r="A57" s="292"/>
      <c r="B57" s="782"/>
      <c r="C57" s="790"/>
      <c r="D57" s="790"/>
      <c r="E57" s="791"/>
      <c r="F57" s="2">
        <f>IF($B57="","",VLOOKUP($B57,Daten!$B$8:$E$58,2,FALSE))</f>
      </c>
      <c r="G57" s="107"/>
      <c r="H57" s="110"/>
      <c r="I57" s="110"/>
      <c r="J57" s="732">
        <f t="shared" si="1"/>
        <v>0</v>
      </c>
      <c r="K57" s="733">
        <f>IF($B57="","",VLOOKUP($B57,Daten!$B$8:$E$58,4,FALSE))</f>
      </c>
      <c r="L57" s="738">
        <f t="shared" si="0"/>
      </c>
      <c r="M57" s="110"/>
      <c r="N57" s="110"/>
      <c r="O57" s="110"/>
      <c r="P57" s="737">
        <f t="shared" si="2"/>
        <v>0</v>
      </c>
      <c r="Q57" s="738">
        <f t="shared" si="3"/>
      </c>
      <c r="R57" s="303"/>
      <c r="S57" s="51"/>
      <c r="T57" s="51"/>
      <c r="V57" s="281"/>
      <c r="W57" s="224"/>
      <c r="X57" s="225"/>
      <c r="Y57" s="225"/>
      <c r="Z57" s="151"/>
      <c r="AA57" s="282"/>
      <c r="AB57" s="152"/>
      <c r="AC57" s="153"/>
      <c r="AD57" s="153"/>
      <c r="AE57" s="153"/>
      <c r="AF57" s="166"/>
      <c r="AG57" s="169"/>
      <c r="AJ57" s="166"/>
      <c r="AK57" s="212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</row>
    <row r="58" spans="1:47" ht="12.75" customHeight="1">
      <c r="A58" s="292"/>
      <c r="B58" s="776"/>
      <c r="C58" s="785"/>
      <c r="D58" s="785"/>
      <c r="E58" s="786"/>
      <c r="F58" s="2">
        <f>IF($B58="","",VLOOKUP($B58,Daten!$B$8:$E$58,2,FALSE))</f>
      </c>
      <c r="G58" s="107"/>
      <c r="H58" s="110"/>
      <c r="I58" s="110"/>
      <c r="J58" s="732">
        <f>IF(OR(AND(H58&lt;0,G58&lt;ABS(H58)),I58&gt;365),"!",G58+(H58*I58/365))</f>
        <v>0</v>
      </c>
      <c r="K58" s="733">
        <f>IF($B58="","",VLOOKUP($B58,Daten!$B$8:$E$58,4,FALSE))</f>
      </c>
      <c r="L58" s="738">
        <f>IF(J58&gt;0,J58*K58,"")</f>
      </c>
      <c r="M58" s="110"/>
      <c r="N58" s="110"/>
      <c r="O58" s="110"/>
      <c r="P58" s="737">
        <f t="shared" si="2"/>
        <v>0</v>
      </c>
      <c r="Q58" s="738">
        <f t="shared" si="3"/>
      </c>
      <c r="R58" s="303"/>
      <c r="S58" s="495"/>
      <c r="T58" s="51"/>
      <c r="U58" s="150"/>
      <c r="Z58" s="151"/>
      <c r="AA58" s="282"/>
      <c r="AB58" s="152"/>
      <c r="AC58" s="153"/>
      <c r="AD58" s="153"/>
      <c r="AE58" s="153"/>
      <c r="AF58" s="166"/>
      <c r="AG58" s="169"/>
      <c r="AJ58" s="166"/>
      <c r="AK58" s="175"/>
      <c r="AL58" s="238"/>
      <c r="AM58" s="175"/>
      <c r="AN58" s="175"/>
      <c r="AO58" s="239"/>
      <c r="AP58" s="175"/>
      <c r="AQ58" s="175"/>
      <c r="AR58" s="175"/>
      <c r="AS58" s="175"/>
      <c r="AT58" s="175"/>
      <c r="AU58" s="175"/>
    </row>
    <row r="59" spans="1:47" ht="12.75" customHeight="1">
      <c r="A59" s="292"/>
      <c r="B59" s="293" t="str">
        <f>Texte!A141</f>
        <v>Autres animaux consommant des fourrages grossiers</v>
      </c>
      <c r="C59" s="294"/>
      <c r="D59" s="294"/>
      <c r="E59" s="294"/>
      <c r="F59" s="75"/>
      <c r="G59" s="76"/>
      <c r="H59" s="77"/>
      <c r="I59" s="77"/>
      <c r="J59" s="295"/>
      <c r="K59" s="78"/>
      <c r="L59" s="296"/>
      <c r="M59" s="79"/>
      <c r="N59" s="77"/>
      <c r="O59" s="77"/>
      <c r="P59" s="296"/>
      <c r="Q59" s="296"/>
      <c r="R59" s="79"/>
      <c r="S59" s="496"/>
      <c r="T59" s="51"/>
      <c r="U59" s="150"/>
      <c r="Z59" s="151"/>
      <c r="AA59" s="282"/>
      <c r="AB59" s="152"/>
      <c r="AC59" s="153"/>
      <c r="AD59" s="153"/>
      <c r="AE59" s="153"/>
      <c r="AF59" s="166"/>
      <c r="AG59" s="169"/>
      <c r="AJ59" s="166"/>
      <c r="AK59" s="175"/>
      <c r="AL59" s="238"/>
      <c r="AM59" s="175"/>
      <c r="AN59" s="175"/>
      <c r="AO59" s="239"/>
      <c r="AP59" s="175"/>
      <c r="AQ59" s="175"/>
      <c r="AR59" s="175"/>
      <c r="AS59" s="175"/>
      <c r="AT59" s="175"/>
      <c r="AU59" s="175"/>
    </row>
    <row r="60" spans="1:47" ht="12.75" customHeight="1">
      <c r="A60" s="52"/>
      <c r="B60" s="787" t="str">
        <f>Texte!A150</f>
        <v>Brebis laitière, y c. agneaux et part de bélier</v>
      </c>
      <c r="C60" s="788"/>
      <c r="D60" s="788"/>
      <c r="E60" s="789"/>
      <c r="F60" s="2" t="str">
        <f>IF($B60="","",VLOOKUP($B60,Daten!$B$8:$E$58,2,FALSE))</f>
        <v>1 place</v>
      </c>
      <c r="G60" s="107"/>
      <c r="H60" s="110"/>
      <c r="I60" s="110"/>
      <c r="J60" s="732">
        <f>IF(OR(AND(H60&lt;0,G60&lt;ABS(H60)),I60&gt;365),"!",G60+(H60*I60/365))</f>
        <v>0</v>
      </c>
      <c r="K60" s="733">
        <f>IF($B60="","",VLOOKUP($B60,Daten!$B$8:$E$58,4,FALSE))</f>
        <v>11</v>
      </c>
      <c r="L60" s="738">
        <f>IF(J60&gt;0,J60*K60,"")</f>
      </c>
      <c r="M60" s="110"/>
      <c r="N60" s="110"/>
      <c r="O60" s="110"/>
      <c r="P60" s="738">
        <f t="shared" si="2"/>
        <v>0</v>
      </c>
      <c r="Q60" s="738">
        <f aca="true" t="shared" si="4" ref="Q60:Q65">IF($N60=0,"",$K60*$P60/365)</f>
      </c>
      <c r="R60" s="110"/>
      <c r="S60" s="511"/>
      <c r="T60" s="51"/>
      <c r="U60" s="150"/>
      <c r="V60" s="281"/>
      <c r="W60" s="204"/>
      <c r="X60" s="290"/>
      <c r="Y60" s="290"/>
      <c r="Z60" s="151"/>
      <c r="AA60" s="282"/>
      <c r="AB60" s="152"/>
      <c r="AC60" s="153"/>
      <c r="AD60" s="153"/>
      <c r="AE60" s="153"/>
      <c r="AF60" s="166"/>
      <c r="AG60" s="169"/>
      <c r="AJ60" s="166"/>
      <c r="AK60" s="175"/>
      <c r="AL60" s="792"/>
      <c r="AM60" s="793"/>
      <c r="AN60" s="793"/>
      <c r="AO60" s="794"/>
      <c r="AP60" s="175"/>
      <c r="AQ60" s="175"/>
      <c r="AR60" s="175"/>
      <c r="AS60" s="175"/>
      <c r="AT60" s="175"/>
      <c r="AU60" s="175"/>
    </row>
    <row r="61" spans="1:46" ht="12.75" customHeight="1">
      <c r="A61" s="52"/>
      <c r="B61" s="779" t="str">
        <f>Texte!A148</f>
        <v>Chèvre y c. cabris et part de bouc</v>
      </c>
      <c r="C61" s="780"/>
      <c r="D61" s="780"/>
      <c r="E61" s="781"/>
      <c r="F61" s="2" t="str">
        <f>IF($B61="","",VLOOKUP($B61,Daten!$B$8:$E$58,2,FALSE))</f>
        <v>1 place</v>
      </c>
      <c r="G61" s="107"/>
      <c r="H61" s="110"/>
      <c r="I61" s="110"/>
      <c r="J61" s="732">
        <f t="shared" si="1"/>
        <v>0</v>
      </c>
      <c r="K61" s="733">
        <f>IF($B61="","",VLOOKUP($B61,Daten!$B$8:$E$58,4,FALSE))</f>
        <v>6.8</v>
      </c>
      <c r="L61" s="738">
        <f aca="true" t="shared" si="5" ref="L61:L74">IF(J61&gt;0,J61*K61,"")</f>
      </c>
      <c r="M61" s="110"/>
      <c r="N61" s="110"/>
      <c r="O61" s="110"/>
      <c r="P61" s="738">
        <f t="shared" si="2"/>
        <v>0</v>
      </c>
      <c r="Q61" s="738">
        <f t="shared" si="4"/>
      </c>
      <c r="R61" s="110"/>
      <c r="S61" s="511"/>
      <c r="T61" s="51"/>
      <c r="U61" s="154"/>
      <c r="V61" s="154"/>
      <c r="W61" s="204"/>
      <c r="X61" s="154"/>
      <c r="Y61" s="154"/>
      <c r="Z61" s="151"/>
      <c r="AA61" s="282"/>
      <c r="AB61" s="152"/>
      <c r="AC61" s="153"/>
      <c r="AD61" s="153"/>
      <c r="AE61" s="153"/>
      <c r="AF61" s="155"/>
      <c r="AG61" s="297"/>
      <c r="AH61" s="181"/>
      <c r="AI61" s="181"/>
      <c r="AJ61" s="181"/>
      <c r="AK61" s="175"/>
      <c r="AL61" s="175"/>
      <c r="AM61" s="175"/>
      <c r="AN61" s="175"/>
      <c r="AO61" s="175"/>
      <c r="AP61" s="175"/>
      <c r="AQ61" s="175"/>
      <c r="AR61" s="175"/>
      <c r="AS61" s="175"/>
      <c r="AT61" s="175"/>
    </row>
    <row r="62" spans="1:47" ht="12.75" customHeight="1">
      <c r="A62" s="52"/>
      <c r="B62" s="782"/>
      <c r="C62" s="783"/>
      <c r="D62" s="783"/>
      <c r="E62" s="784"/>
      <c r="F62" s="2">
        <f>IF($B62="","",VLOOKUP($B62,Daten!$B$8:$E$58,2,FALSE))</f>
      </c>
      <c r="G62" s="107"/>
      <c r="H62" s="110"/>
      <c r="I62" s="110"/>
      <c r="J62" s="732">
        <f t="shared" si="1"/>
        <v>0</v>
      </c>
      <c r="K62" s="733">
        <f>IF($B62="","",VLOOKUP($B62,Daten!$B$8:$E$58,4,FALSE))</f>
      </c>
      <c r="L62" s="738">
        <f t="shared" si="5"/>
      </c>
      <c r="M62" s="110"/>
      <c r="N62" s="110"/>
      <c r="O62" s="110"/>
      <c r="P62" s="738">
        <f t="shared" si="2"/>
        <v>0</v>
      </c>
      <c r="Q62" s="738">
        <f t="shared" si="4"/>
      </c>
      <c r="R62" s="303"/>
      <c r="S62" s="511"/>
      <c r="T62" s="51"/>
      <c r="U62" s="154"/>
      <c r="V62" s="154"/>
      <c r="W62" s="204"/>
      <c r="X62" s="154"/>
      <c r="Y62" s="154"/>
      <c r="Z62" s="151"/>
      <c r="AA62" s="282"/>
      <c r="AB62" s="152"/>
      <c r="AC62" s="153"/>
      <c r="AD62" s="153"/>
      <c r="AE62" s="153"/>
      <c r="AF62" s="155"/>
      <c r="AG62" s="297"/>
      <c r="AH62" s="181"/>
      <c r="AI62" s="181"/>
      <c r="AJ62" s="181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</row>
    <row r="63" spans="1:47" ht="12.75" customHeight="1">
      <c r="A63" s="52"/>
      <c r="B63" s="782"/>
      <c r="C63" s="783"/>
      <c r="D63" s="783"/>
      <c r="E63" s="784"/>
      <c r="F63" s="2">
        <f>IF($B63="","",VLOOKUP($B63,Daten!$B$8:$E$58,2,FALSE))</f>
      </c>
      <c r="G63" s="107"/>
      <c r="H63" s="110"/>
      <c r="I63" s="110"/>
      <c r="J63" s="732">
        <f t="shared" si="1"/>
        <v>0</v>
      </c>
      <c r="K63" s="733">
        <f>IF($B63="","",VLOOKUP($B63,Daten!$B$8:$E$58,4,FALSE))</f>
      </c>
      <c r="L63" s="738">
        <f t="shared" si="5"/>
      </c>
      <c r="M63" s="110"/>
      <c r="N63" s="110"/>
      <c r="O63" s="110"/>
      <c r="P63" s="738">
        <f t="shared" si="2"/>
        <v>0</v>
      </c>
      <c r="Q63" s="738">
        <f t="shared" si="4"/>
      </c>
      <c r="R63" s="303"/>
      <c r="S63" s="511"/>
      <c r="T63" s="51"/>
      <c r="U63" s="154"/>
      <c r="V63" s="154"/>
      <c r="W63" s="204"/>
      <c r="X63" s="154"/>
      <c r="Y63" s="154"/>
      <c r="Z63" s="151"/>
      <c r="AA63" s="282"/>
      <c r="AB63" s="152"/>
      <c r="AC63" s="153"/>
      <c r="AD63" s="153"/>
      <c r="AE63" s="153"/>
      <c r="AF63" s="155"/>
      <c r="AG63" s="297"/>
      <c r="AH63" s="181"/>
      <c r="AI63" s="181"/>
      <c r="AJ63" s="181"/>
      <c r="AK63" s="175"/>
      <c r="AL63" s="238"/>
      <c r="AM63" s="175"/>
      <c r="AN63" s="175"/>
      <c r="AO63" s="239"/>
      <c r="AP63" s="175"/>
      <c r="AQ63" s="175"/>
      <c r="AR63" s="175"/>
      <c r="AS63" s="175"/>
      <c r="AT63" s="175"/>
      <c r="AU63" s="175"/>
    </row>
    <row r="64" spans="1:47" ht="12.75" customHeight="1">
      <c r="A64" s="52"/>
      <c r="B64" s="782"/>
      <c r="C64" s="783"/>
      <c r="D64" s="783"/>
      <c r="E64" s="784"/>
      <c r="F64" s="2">
        <f>IF($B64="","",VLOOKUP($B64,Daten!$B$8:$E$58,2,FALSE))</f>
      </c>
      <c r="G64" s="107"/>
      <c r="H64" s="110"/>
      <c r="I64" s="110"/>
      <c r="J64" s="732">
        <f t="shared" si="1"/>
        <v>0</v>
      </c>
      <c r="K64" s="733">
        <f>IF($B64="","",VLOOKUP($B64,Daten!$B$8:$E$58,4,FALSE))</f>
      </c>
      <c r="L64" s="738">
        <f t="shared" si="5"/>
      </c>
      <c r="M64" s="110"/>
      <c r="N64" s="110"/>
      <c r="O64" s="110"/>
      <c r="P64" s="738">
        <f t="shared" si="2"/>
        <v>0</v>
      </c>
      <c r="Q64" s="738">
        <f t="shared" si="4"/>
      </c>
      <c r="R64" s="303"/>
      <c r="S64" s="511"/>
      <c r="T64" s="51"/>
      <c r="U64" s="154"/>
      <c r="V64" s="154"/>
      <c r="W64" s="204"/>
      <c r="X64" s="154"/>
      <c r="Y64" s="154"/>
      <c r="Z64" s="151"/>
      <c r="AA64" s="282"/>
      <c r="AB64" s="152"/>
      <c r="AC64" s="153"/>
      <c r="AD64" s="153"/>
      <c r="AE64" s="153"/>
      <c r="AF64" s="155"/>
      <c r="AG64" s="297"/>
      <c r="AH64" s="181"/>
      <c r="AI64" s="181"/>
      <c r="AJ64" s="181"/>
      <c r="AK64" s="175"/>
      <c r="AL64" s="792"/>
      <c r="AM64" s="793"/>
      <c r="AN64" s="793"/>
      <c r="AO64" s="794"/>
      <c r="AP64" s="175"/>
      <c r="AQ64" s="175"/>
      <c r="AR64" s="175"/>
      <c r="AS64" s="175"/>
      <c r="AT64" s="175"/>
      <c r="AU64" s="175"/>
    </row>
    <row r="65" spans="1:47" ht="12.75" customHeight="1">
      <c r="A65" s="52"/>
      <c r="B65" s="776"/>
      <c r="C65" s="777"/>
      <c r="D65" s="777"/>
      <c r="E65" s="778"/>
      <c r="F65" s="64">
        <f>IF($B65="","",VLOOKUP($B65,Daten!$B$8:$E$58,2,FALSE))</f>
      </c>
      <c r="G65" s="112"/>
      <c r="H65" s="693"/>
      <c r="I65" s="693"/>
      <c r="J65" s="734">
        <f>IF(OR(AND(H65&lt;0,G65&lt;ABS(H65)),I65&gt;365),"!",G65+(H65*I65/365))</f>
        <v>0</v>
      </c>
      <c r="K65" s="735">
        <f>IF($B65="","",VLOOKUP($B65,Daten!$B$8:$E$58,4,FALSE))</f>
      </c>
      <c r="L65" s="739">
        <f>IF(J65&gt;0,J65*K65,"")</f>
      </c>
      <c r="M65" s="110"/>
      <c r="N65" s="693"/>
      <c r="O65" s="693"/>
      <c r="P65" s="739">
        <f t="shared" si="2"/>
        <v>0</v>
      </c>
      <c r="Q65" s="738">
        <f t="shared" si="4"/>
      </c>
      <c r="R65" s="308"/>
      <c r="S65" s="511"/>
      <c r="T65" s="51"/>
      <c r="U65" s="154"/>
      <c r="V65" s="154"/>
      <c r="X65" s="154"/>
      <c r="Z65" s="151"/>
      <c r="AA65" s="282"/>
      <c r="AB65" s="152"/>
      <c r="AC65" s="153"/>
      <c r="AD65" s="153"/>
      <c r="AE65" s="153"/>
      <c r="AF65" s="155"/>
      <c r="AG65" s="297"/>
      <c r="AH65" s="181"/>
      <c r="AI65" s="181"/>
      <c r="AJ65" s="181"/>
      <c r="AK65" s="175"/>
      <c r="AL65" s="255"/>
      <c r="AM65" s="148"/>
      <c r="AN65" s="148"/>
      <c r="AO65" s="149"/>
      <c r="AP65" s="175"/>
      <c r="AQ65" s="175"/>
      <c r="AR65" s="175"/>
      <c r="AS65" s="175"/>
      <c r="AT65" s="175"/>
      <c r="AU65" s="175"/>
    </row>
    <row r="66" spans="1:47" ht="12.75" customHeight="1">
      <c r="A66" s="52"/>
      <c r="C66" s="309"/>
      <c r="D66" s="309"/>
      <c r="E66" s="309"/>
      <c r="F66" s="172"/>
      <c r="G66" s="172"/>
      <c r="H66" s="172"/>
      <c r="I66" s="310"/>
      <c r="J66" s="311"/>
      <c r="K66" s="312"/>
      <c r="L66" s="690">
        <f>SUM(L41:L65)</f>
        <v>0</v>
      </c>
      <c r="M66" s="314">
        <f>SUM(M41:M65)</f>
        <v>0</v>
      </c>
      <c r="N66" s="677"/>
      <c r="O66" s="510"/>
      <c r="P66" s="312"/>
      <c r="Q66" s="642">
        <f>SUM(Q41:Q65)</f>
        <v>0</v>
      </c>
      <c r="R66" s="642">
        <f>SUM(R41:R65)</f>
        <v>0</v>
      </c>
      <c r="S66" s="511"/>
      <c r="T66" s="51"/>
      <c r="U66" s="154"/>
      <c r="V66" s="154"/>
      <c r="W66" s="543"/>
      <c r="X66" s="678"/>
      <c r="Z66" s="151"/>
      <c r="AA66" s="282"/>
      <c r="AB66" s="152"/>
      <c r="AC66" s="153"/>
      <c r="AD66" s="153"/>
      <c r="AE66" s="153"/>
      <c r="AF66" s="155"/>
      <c r="AG66" s="297"/>
      <c r="AH66" s="181"/>
      <c r="AI66" s="181"/>
      <c r="AJ66" s="181"/>
      <c r="AK66" s="175"/>
      <c r="AL66" s="255"/>
      <c r="AM66" s="148"/>
      <c r="AN66" s="148"/>
      <c r="AO66" s="149"/>
      <c r="AP66" s="175"/>
      <c r="AQ66" s="175"/>
      <c r="AR66" s="175"/>
      <c r="AS66" s="175"/>
      <c r="AT66" s="175"/>
      <c r="AU66" s="175"/>
    </row>
    <row r="67" spans="1:47" ht="12.75" customHeight="1">
      <c r="A67" s="52"/>
      <c r="B67" s="681" t="str">
        <f>Texte!A161</f>
        <v>Autres animaux consommant des fourrages de base</v>
      </c>
      <c r="C67" s="682"/>
      <c r="D67" s="682"/>
      <c r="E67" s="682"/>
      <c r="F67" s="683"/>
      <c r="G67" s="684"/>
      <c r="H67" s="685"/>
      <c r="I67" s="685"/>
      <c r="J67" s="686"/>
      <c r="K67" s="687"/>
      <c r="L67" s="688"/>
      <c r="M67" s="689"/>
      <c r="N67" s="686"/>
      <c r="O67" s="687"/>
      <c r="P67" s="688"/>
      <c r="Q67" s="689"/>
      <c r="R67" s="689"/>
      <c r="S67" s="51"/>
      <c r="T67" s="51"/>
      <c r="U67" s="154"/>
      <c r="V67" s="154"/>
      <c r="W67" s="204"/>
      <c r="Z67" s="151"/>
      <c r="AA67" s="282"/>
      <c r="AB67" s="152"/>
      <c r="AC67" s="153"/>
      <c r="AD67" s="153"/>
      <c r="AE67" s="153"/>
      <c r="AF67" s="155"/>
      <c r="AG67" s="297"/>
      <c r="AH67" s="181"/>
      <c r="AI67" s="181"/>
      <c r="AJ67" s="181"/>
      <c r="AK67" s="175"/>
      <c r="AL67" s="255"/>
      <c r="AM67" s="148"/>
      <c r="AN67" s="148"/>
      <c r="AO67" s="149"/>
      <c r="AP67" s="175"/>
      <c r="AQ67" s="175"/>
      <c r="AR67" s="175"/>
      <c r="AS67" s="175"/>
      <c r="AT67" s="175"/>
      <c r="AU67" s="175"/>
    </row>
    <row r="68" spans="1:47" ht="12.75" customHeight="1">
      <c r="A68" s="52"/>
      <c r="B68" s="679"/>
      <c r="C68" s="680"/>
      <c r="D68" s="680"/>
      <c r="E68" s="680"/>
      <c r="F68" s="232"/>
      <c r="G68" s="232"/>
      <c r="H68" s="233"/>
      <c r="J68" s="234"/>
      <c r="K68" s="235" t="str">
        <f>Texte!A97</f>
        <v>Consommation</v>
      </c>
      <c r="L68" s="236"/>
      <c r="M68" s="235" t="str">
        <f>Texte!A162</f>
        <v>Herbe issue des</v>
      </c>
      <c r="N68" s="301"/>
      <c r="O68" s="301"/>
      <c r="P68" s="301"/>
      <c r="Q68" s="301"/>
      <c r="R68" s="301"/>
      <c r="S68" s="51"/>
      <c r="T68" s="51"/>
      <c r="U68" s="154"/>
      <c r="V68" s="154"/>
      <c r="W68" s="204"/>
      <c r="Y68" s="154"/>
      <c r="Z68" s="151"/>
      <c r="AA68" s="282"/>
      <c r="AB68" s="152"/>
      <c r="AC68" s="153"/>
      <c r="AD68" s="153"/>
      <c r="AE68" s="153"/>
      <c r="AF68" s="155"/>
      <c r="AG68" s="297"/>
      <c r="AH68" s="181"/>
      <c r="AI68" s="181"/>
      <c r="AJ68" s="181"/>
      <c r="AK68" s="175"/>
      <c r="AL68" s="255"/>
      <c r="AM68" s="148"/>
      <c r="AN68" s="148"/>
      <c r="AO68" s="149"/>
      <c r="AP68" s="175"/>
      <c r="AQ68" s="175"/>
      <c r="AR68" s="175"/>
      <c r="AS68" s="175"/>
      <c r="AT68" s="175"/>
      <c r="AU68" s="175"/>
    </row>
    <row r="69" spans="1:47" ht="12.75" customHeight="1">
      <c r="A69" s="52"/>
      <c r="B69" s="679"/>
      <c r="C69" s="680"/>
      <c r="D69" s="680"/>
      <c r="E69" s="680"/>
      <c r="F69" s="243"/>
      <c r="H69" s="244" t="str">
        <f>Texte!A90</f>
        <v>Déduction /</v>
      </c>
      <c r="I69" s="245"/>
      <c r="J69" s="246" t="str">
        <f>Texte!A94</f>
        <v>Nbre</v>
      </c>
      <c r="K69" s="247" t="str">
        <f>Texte!A98</f>
        <v>de fourrages</v>
      </c>
      <c r="L69" s="248"/>
      <c r="M69" s="249" t="str">
        <f>Texte!A163</f>
        <v>prairies/pâtur.</v>
      </c>
      <c r="N69" s="303"/>
      <c r="O69" s="303"/>
      <c r="P69" s="303"/>
      <c r="Q69" s="303"/>
      <c r="R69" s="303"/>
      <c r="S69" s="51"/>
      <c r="T69" s="51"/>
      <c r="U69" s="154"/>
      <c r="V69" s="154"/>
      <c r="W69" s="204"/>
      <c r="Y69" s="154"/>
      <c r="Z69" s="151"/>
      <c r="AA69" s="282"/>
      <c r="AB69" s="152"/>
      <c r="AC69" s="153"/>
      <c r="AD69" s="153"/>
      <c r="AE69" s="153"/>
      <c r="AF69" s="155"/>
      <c r="AG69" s="297"/>
      <c r="AH69" s="181"/>
      <c r="AI69" s="181"/>
      <c r="AJ69" s="181"/>
      <c r="AK69" s="175"/>
      <c r="AL69" s="255"/>
      <c r="AM69" s="148"/>
      <c r="AN69" s="148"/>
      <c r="AO69" s="149"/>
      <c r="AP69" s="175"/>
      <c r="AQ69" s="175"/>
      <c r="AR69" s="175"/>
      <c r="AS69" s="175"/>
      <c r="AT69" s="175"/>
      <c r="AU69" s="175"/>
    </row>
    <row r="70" spans="1:47" ht="12.75" customHeight="1">
      <c r="A70" s="52"/>
      <c r="B70" s="679"/>
      <c r="C70" s="680"/>
      <c r="D70" s="680"/>
      <c r="E70" s="680"/>
      <c r="F70" s="243" t="str">
        <f>Texte!A88</f>
        <v>Unité</v>
      </c>
      <c r="G70" s="243" t="str">
        <f>Texte!A89</f>
        <v>Nbre</v>
      </c>
      <c r="H70" s="244" t="str">
        <f>Texte!A91</f>
        <v>supplément.</v>
      </c>
      <c r="I70" s="257"/>
      <c r="J70" s="246" t="str">
        <f>Texte!A95</f>
        <v>corrigé</v>
      </c>
      <c r="K70" s="258" t="str">
        <f>Texte!A102</f>
        <v>dt MS</v>
      </c>
      <c r="L70" s="258" t="str">
        <f>Texte!A102</f>
        <v>dt MS</v>
      </c>
      <c r="M70" s="691" t="str">
        <f>Texte!A102</f>
        <v>dt MS</v>
      </c>
      <c r="N70" s="303"/>
      <c r="O70" s="303"/>
      <c r="P70" s="303"/>
      <c r="Q70" s="303"/>
      <c r="R70" s="303"/>
      <c r="S70" s="51"/>
      <c r="T70" s="51"/>
      <c r="U70" s="154"/>
      <c r="V70" s="154"/>
      <c r="W70" s="543" t="s">
        <v>860</v>
      </c>
      <c r="Y70" s="154"/>
      <c r="Z70" s="151"/>
      <c r="AA70" s="282"/>
      <c r="AB70" s="152"/>
      <c r="AC70" s="153"/>
      <c r="AD70" s="153"/>
      <c r="AE70" s="153"/>
      <c r="AF70" s="155"/>
      <c r="AG70" s="297"/>
      <c r="AH70" s="181"/>
      <c r="AI70" s="181"/>
      <c r="AJ70" s="181"/>
      <c r="AK70" s="175"/>
      <c r="AL70" s="255"/>
      <c r="AM70" s="148"/>
      <c r="AN70" s="148"/>
      <c r="AO70" s="149"/>
      <c r="AP70" s="175"/>
      <c r="AQ70" s="175"/>
      <c r="AR70" s="175"/>
      <c r="AS70" s="175"/>
      <c r="AT70" s="175"/>
      <c r="AU70" s="175"/>
    </row>
    <row r="71" spans="1:47" ht="12.75" customHeight="1">
      <c r="A71" s="52"/>
      <c r="B71" s="679"/>
      <c r="C71" s="680"/>
      <c r="D71" s="680"/>
      <c r="E71" s="680"/>
      <c r="F71" s="265"/>
      <c r="G71" s="265"/>
      <c r="H71" s="266" t="str">
        <f>Texte!A92</f>
        <v>± bêtes</v>
      </c>
      <c r="I71" s="267" t="str">
        <f>Texte!A93</f>
        <v>jours</v>
      </c>
      <c r="J71" s="741">
        <f>Texte!A96</f>
        <v>0</v>
      </c>
      <c r="K71" s="269" t="str">
        <f>Texte!A99</f>
        <v>par an</v>
      </c>
      <c r="L71" s="269" t="str">
        <f>Texte!A101</f>
        <v>total</v>
      </c>
      <c r="M71" s="692" t="str">
        <f>Texte!A101</f>
        <v>total</v>
      </c>
      <c r="N71" s="303"/>
      <c r="O71" s="303"/>
      <c r="P71" s="303"/>
      <c r="Q71" s="303"/>
      <c r="R71" s="303"/>
      <c r="S71" s="51"/>
      <c r="T71" s="51"/>
      <c r="U71" s="154"/>
      <c r="V71" s="154"/>
      <c r="W71" s="204"/>
      <c r="Y71" s="154" t="s">
        <v>861</v>
      </c>
      <c r="Z71" s="151"/>
      <c r="AA71" s="282"/>
      <c r="AB71" s="152"/>
      <c r="AC71" s="153"/>
      <c r="AD71" s="153"/>
      <c r="AE71" s="153"/>
      <c r="AF71" s="155"/>
      <c r="AG71" s="297"/>
      <c r="AH71" s="181"/>
      <c r="AI71" s="181"/>
      <c r="AJ71" s="181"/>
      <c r="AK71" s="175"/>
      <c r="AL71" s="255"/>
      <c r="AM71" s="148"/>
      <c r="AN71" s="148"/>
      <c r="AO71" s="149"/>
      <c r="AP71" s="175"/>
      <c r="AQ71" s="175"/>
      <c r="AR71" s="175"/>
      <c r="AS71" s="175"/>
      <c r="AT71" s="175"/>
      <c r="AU71" s="175"/>
    </row>
    <row r="72" spans="1:47" ht="12.75" customHeight="1">
      <c r="A72" s="52"/>
      <c r="B72" s="298" t="str">
        <f>Texte!A166</f>
        <v>Autruche plus de 13 mois</v>
      </c>
      <c r="C72" s="299"/>
      <c r="D72" s="299"/>
      <c r="E72" s="300"/>
      <c r="F72" s="59" t="str">
        <f>IF($B72="","",VLOOKUP($B72,Daten!$B$8:$E$58,2,FALSE))</f>
        <v>1 bête</v>
      </c>
      <c r="G72" s="111"/>
      <c r="H72" s="512"/>
      <c r="I72" s="512"/>
      <c r="J72" s="742">
        <f t="shared" si="1"/>
        <v>0</v>
      </c>
      <c r="K72" s="742">
        <f>IF($B72="","",VLOOKUP($B72,Daten!$B$8:$E$58,4,FALSE))</f>
        <v>11</v>
      </c>
      <c r="L72" s="744">
        <f t="shared" si="5"/>
      </c>
      <c r="M72" s="301"/>
      <c r="N72" s="303"/>
      <c r="O72" s="303"/>
      <c r="P72" s="303"/>
      <c r="Q72" s="303"/>
      <c r="R72" s="303"/>
      <c r="S72" s="51"/>
      <c r="T72" s="51"/>
      <c r="U72" s="154"/>
      <c r="V72" s="154"/>
      <c r="W72" s="154" t="str">
        <f>Daten!B49</f>
        <v>Porc à l'engrais/remonte (PPE) de 25-100 kg</v>
      </c>
      <c r="Y72" s="302">
        <v>0.5</v>
      </c>
      <c r="Z72" s="151"/>
      <c r="AA72" s="282"/>
      <c r="AB72" s="152"/>
      <c r="AC72" s="153"/>
      <c r="AD72" s="153"/>
      <c r="AE72" s="153"/>
      <c r="AF72" s="155"/>
      <c r="AG72" s="297"/>
      <c r="AH72" s="181"/>
      <c r="AI72" s="181"/>
      <c r="AJ72" s="181"/>
      <c r="AK72" s="175"/>
      <c r="AL72" s="255"/>
      <c r="AM72" s="148"/>
      <c r="AN72" s="148"/>
      <c r="AO72" s="149"/>
      <c r="AP72" s="175"/>
      <c r="AQ72" s="175"/>
      <c r="AR72" s="175"/>
      <c r="AS72" s="175"/>
      <c r="AT72" s="175"/>
      <c r="AU72" s="175"/>
    </row>
    <row r="73" spans="1:46" ht="12.75" customHeight="1">
      <c r="A73" s="52"/>
      <c r="B73" s="298" t="str">
        <f>Texte!A167</f>
        <v>Autruche jusqu'à 13 mois</v>
      </c>
      <c r="C73" s="299"/>
      <c r="D73" s="299"/>
      <c r="E73" s="300"/>
      <c r="F73" s="59" t="str">
        <f>IF($B73="","",VLOOKUP($B73,Daten!$B$8:$E$58,2,FALSE))</f>
        <v>1 bête</v>
      </c>
      <c r="G73" s="111"/>
      <c r="H73" s="513"/>
      <c r="I73" s="513"/>
      <c r="J73" s="742">
        <f t="shared" si="1"/>
        <v>0</v>
      </c>
      <c r="K73" s="742">
        <f>IF($B73="","",VLOOKUP($B73,Daten!$B$8:$E$58,4,FALSE))</f>
        <v>2</v>
      </c>
      <c r="L73" s="744">
        <f t="shared" si="5"/>
      </c>
      <c r="M73" s="303"/>
      <c r="N73" s="303"/>
      <c r="O73" s="303"/>
      <c r="P73" s="303"/>
      <c r="Q73" s="303"/>
      <c r="R73" s="303"/>
      <c r="S73" s="51"/>
      <c r="T73" s="51"/>
      <c r="U73" s="154"/>
      <c r="V73" s="154"/>
      <c r="W73" s="154" t="str">
        <f>Daten!B50</f>
        <v>Porc à l'engrais/remonte de 25-100 kg</v>
      </c>
      <c r="Y73" s="302">
        <v>0.5</v>
      </c>
      <c r="Z73" s="151"/>
      <c r="AA73" s="282"/>
      <c r="AB73" s="152"/>
      <c r="AC73" s="153"/>
      <c r="AD73" s="153"/>
      <c r="AE73" s="153"/>
      <c r="AF73" s="155"/>
      <c r="AG73" s="297"/>
      <c r="AH73" s="181"/>
      <c r="AI73" s="181"/>
      <c r="AJ73" s="181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</row>
    <row r="74" spans="1:47" ht="12.75" customHeight="1">
      <c r="A74" s="52"/>
      <c r="B74" s="298" t="str">
        <f>Texte!A164</f>
        <v>Lapine mère (y c. petits jusqu'à env. 35 jours)</v>
      </c>
      <c r="C74" s="299"/>
      <c r="D74" s="299"/>
      <c r="E74" s="300"/>
      <c r="F74" s="59" t="str">
        <f>IF($B74="","",VLOOKUP($B74,Daten!$B$8:$E$58,2,FALSE))</f>
        <v>1 bête</v>
      </c>
      <c r="G74" s="111"/>
      <c r="H74" s="513"/>
      <c r="I74" s="513"/>
      <c r="J74" s="742">
        <f t="shared" si="1"/>
        <v>0</v>
      </c>
      <c r="K74" s="742">
        <f>IF($B74="","",VLOOKUP($B74,Daten!$B$8:$E$58,4,FALSE))</f>
        <v>0.36</v>
      </c>
      <c r="L74" s="744">
        <f t="shared" si="5"/>
      </c>
      <c r="M74" s="303"/>
      <c r="N74" s="303"/>
      <c r="O74" s="303"/>
      <c r="P74" s="303"/>
      <c r="Q74" s="303"/>
      <c r="R74" s="303"/>
      <c r="S74" s="51"/>
      <c r="T74" s="51"/>
      <c r="U74" s="154"/>
      <c r="V74" s="154"/>
      <c r="W74" s="154" t="str">
        <f>Daten!B51</f>
        <v>Truie d'élevage, porcelets inclus 25-30 kg</v>
      </c>
      <c r="Y74" s="302">
        <v>6.5</v>
      </c>
      <c r="Z74" s="151"/>
      <c r="AA74" s="282"/>
      <c r="AB74" s="152"/>
      <c r="AC74" s="153"/>
      <c r="AD74" s="153"/>
      <c r="AE74" s="153"/>
      <c r="AF74" s="155"/>
      <c r="AG74" s="297"/>
      <c r="AH74" s="181"/>
      <c r="AI74" s="181"/>
      <c r="AJ74" s="181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</row>
    <row r="75" spans="1:47" ht="12.75" customHeight="1">
      <c r="A75" s="52"/>
      <c r="B75" s="298" t="str">
        <f>Texte!A165</f>
        <v>Petits lapins dès env.35 jours</v>
      </c>
      <c r="C75" s="304"/>
      <c r="D75" s="304"/>
      <c r="E75" s="305"/>
      <c r="F75" s="2" t="str">
        <f>IF($B75="","",VLOOKUP($B75,Daten!$B$8:$E$58,2,FALSE))</f>
        <v>100 pl.</v>
      </c>
      <c r="G75" s="107"/>
      <c r="H75" s="513"/>
      <c r="I75" s="513"/>
      <c r="J75" s="742">
        <f t="shared" si="1"/>
        <v>0</v>
      </c>
      <c r="K75" s="742">
        <f>IF($B75="","",VLOOKUP($B75,Daten!$B$8:$E$58,4,FALSE))</f>
        <v>4</v>
      </c>
      <c r="L75" s="745">
        <f>IF(J75&gt;0,J75*K75,"")</f>
      </c>
      <c r="M75" s="303"/>
      <c r="N75" s="303"/>
      <c r="O75" s="303"/>
      <c r="P75" s="303"/>
      <c r="Q75" s="303"/>
      <c r="R75" s="303"/>
      <c r="S75" s="51"/>
      <c r="T75" s="51"/>
      <c r="U75" s="154"/>
      <c r="V75" s="154"/>
      <c r="W75" s="154" t="str">
        <f>Daten!B52</f>
        <v>Truie non allaitante</v>
      </c>
      <c r="Y75" s="302">
        <v>9</v>
      </c>
      <c r="Z75" s="151"/>
      <c r="AA75" s="282"/>
      <c r="AB75" s="152"/>
      <c r="AC75" s="153"/>
      <c r="AD75" s="153"/>
      <c r="AE75" s="517"/>
      <c r="AF75" s="155"/>
      <c r="AG75" s="297"/>
      <c r="AH75" s="203"/>
      <c r="AI75" s="203"/>
      <c r="AJ75" s="203"/>
      <c r="AK75" s="212"/>
      <c r="AL75" s="238"/>
      <c r="AM75" s="175"/>
      <c r="AN75" s="175"/>
      <c r="AO75" s="239"/>
      <c r="AP75" s="175"/>
      <c r="AQ75" s="175"/>
      <c r="AR75" s="175"/>
      <c r="AS75" s="175"/>
      <c r="AT75" s="175"/>
      <c r="AU75" s="175"/>
    </row>
    <row r="76" spans="1:47" ht="12.75" customHeight="1">
      <c r="A76" s="52"/>
      <c r="B76" s="298" t="str">
        <f>Texte!A170</f>
        <v>Truie d'élevage, porcelets inclus 25-30 kg</v>
      </c>
      <c r="C76" s="304"/>
      <c r="D76" s="304"/>
      <c r="E76" s="305"/>
      <c r="F76" s="2" t="str">
        <f>IF($B76="","",VLOOKUP($B76,Daten!$B$8:$E$58,2,FALSE))</f>
        <v>1 place</v>
      </c>
      <c r="G76" s="107"/>
      <c r="H76" s="513"/>
      <c r="I76" s="513"/>
      <c r="J76" s="742">
        <f t="shared" si="1"/>
        <v>0</v>
      </c>
      <c r="K76" s="105"/>
      <c r="L76" s="746">
        <f>IF(J76&gt;0,J76*K76,"")</f>
      </c>
      <c r="M76" s="110"/>
      <c r="N76" s="768">
        <f>IF(M76&gt;L76,Texte!A$180,"")</f>
      </c>
      <c r="O76" s="303"/>
      <c r="P76" s="303"/>
      <c r="Q76" s="303"/>
      <c r="R76" s="303"/>
      <c r="S76" s="653">
        <f>IF($B76="","",IF(AND($K76&gt;0.5,$K76&lt;=VLOOKUP($B76,W$72:Y$79,3)),Texte!$A$178,IF($K76&lt;=0.5,"",Texte!$A$179)))</f>
      </c>
      <c r="T76" s="51"/>
      <c r="U76" s="154"/>
      <c r="V76" s="154"/>
      <c r="W76" s="154" t="str">
        <f>Daten!B53</f>
        <v>Truie non allaitante, par rotation</v>
      </c>
      <c r="Y76" s="302">
        <v>9</v>
      </c>
      <c r="Z76" s="151"/>
      <c r="AA76" s="282"/>
      <c r="AB76" s="152"/>
      <c r="AC76" s="153"/>
      <c r="AD76" s="153"/>
      <c r="AE76" s="517"/>
      <c r="AF76" s="155"/>
      <c r="AG76" s="297"/>
      <c r="AH76" s="306"/>
      <c r="AI76" s="203"/>
      <c r="AJ76" s="203"/>
      <c r="AK76" s="212"/>
      <c r="AL76" s="792"/>
      <c r="AM76" s="793"/>
      <c r="AN76" s="793"/>
      <c r="AO76" s="794"/>
      <c r="AP76" s="175"/>
      <c r="AQ76" s="175"/>
      <c r="AR76" s="175"/>
      <c r="AS76" s="175"/>
      <c r="AT76" s="175"/>
      <c r="AU76" s="175"/>
    </row>
    <row r="77" spans="1:46" ht="12.75" customHeight="1">
      <c r="A77" s="52"/>
      <c r="B77" s="782"/>
      <c r="C77" s="783"/>
      <c r="D77" s="783"/>
      <c r="E77" s="784"/>
      <c r="F77" s="2">
        <f>IF($B77="","",VLOOKUP($B77,Daten!$B$8:$E$58,2,FALSE))</f>
      </c>
      <c r="G77" s="107"/>
      <c r="H77" s="513"/>
      <c r="I77" s="513"/>
      <c r="J77" s="742">
        <f t="shared" si="1"/>
        <v>0</v>
      </c>
      <c r="K77" s="105"/>
      <c r="L77" s="746">
        <f>IF(J77&gt;0,J77*K77,"")</f>
      </c>
      <c r="M77" s="110"/>
      <c r="N77" s="768">
        <f>IF(M77&gt;L77,Texte!A$180,"")</f>
      </c>
      <c r="O77" s="303"/>
      <c r="P77" s="303"/>
      <c r="Q77" s="303"/>
      <c r="R77" s="303"/>
      <c r="S77" s="653">
        <f>IF($B77="","",IF(AND($K77&gt;0.5,$K77&lt;=VLOOKUP($B77,W$72:Y$79,3)),Texte!$A$178,IF($K77&lt;=0.5,"",Texte!$A$179)))</f>
      </c>
      <c r="T77" s="51"/>
      <c r="U77" s="154"/>
      <c r="V77" s="154"/>
      <c r="W77" s="154" t="str">
        <f>Daten!B54</f>
        <v>Truie allaitante, y c. porcelets</v>
      </c>
      <c r="Y77" s="302">
        <v>6.5</v>
      </c>
      <c r="Z77" s="151"/>
      <c r="AA77" s="517"/>
      <c r="AB77" s="282"/>
      <c r="AC77" s="262"/>
      <c r="AD77" s="307"/>
      <c r="AE77" s="517"/>
      <c r="AF77" s="155"/>
      <c r="AG77" s="297"/>
      <c r="AH77" s="181"/>
      <c r="AI77" s="181"/>
      <c r="AJ77" s="181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</row>
    <row r="78" spans="1:47" ht="12.75" customHeight="1">
      <c r="A78" s="52"/>
      <c r="B78" s="782"/>
      <c r="C78" s="783"/>
      <c r="D78" s="783"/>
      <c r="E78" s="784"/>
      <c r="F78" s="2">
        <f>IF($B78="","",VLOOKUP($B78,Daten!$B$8:$E$58,2,FALSE))</f>
      </c>
      <c r="G78" s="107"/>
      <c r="H78" s="513"/>
      <c r="I78" s="513"/>
      <c r="J78" s="742">
        <f t="shared" si="1"/>
        <v>0</v>
      </c>
      <c r="K78" s="105"/>
      <c r="L78" s="746">
        <f>IF(J78&gt;0,J78*K78,"")</f>
      </c>
      <c r="M78" s="110"/>
      <c r="N78" s="768">
        <f>IF(M78&gt;L78,Texte!A$180,"")</f>
      </c>
      <c r="O78" s="303"/>
      <c r="P78" s="303"/>
      <c r="Q78" s="303"/>
      <c r="R78" s="303"/>
      <c r="S78" s="653">
        <f>IF($B78="","",IF(AND($K78&gt;0.5,$K78&lt;=VLOOKUP($B78,W$72:Y$79,3)),Texte!$A$178,IF($K78&lt;=0.5,"",Texte!$A$179)))</f>
      </c>
      <c r="T78" s="51"/>
      <c r="U78" s="154"/>
      <c r="V78" s="154"/>
      <c r="W78" s="154" t="str">
        <f>Daten!B55</f>
        <v>Truie allaitante, y c. porcelets, par rotation</v>
      </c>
      <c r="Y78" s="302">
        <v>6.5</v>
      </c>
      <c r="Z78" s="151"/>
      <c r="AA78" s="517"/>
      <c r="AB78" s="282"/>
      <c r="AC78" s="262"/>
      <c r="AD78" s="307"/>
      <c r="AE78" s="262"/>
      <c r="AF78" s="155"/>
      <c r="AG78" s="297"/>
      <c r="AH78" s="181"/>
      <c r="AI78" s="181"/>
      <c r="AJ78" s="181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</row>
    <row r="79" spans="1:47" ht="12.75" customHeight="1">
      <c r="A79" s="292"/>
      <c r="B79" s="776"/>
      <c r="C79" s="777"/>
      <c r="D79" s="777"/>
      <c r="E79" s="778"/>
      <c r="F79" s="64">
        <f>IF($B79="","",VLOOKUP($B79,Daten!$B$8:$E$58,2,FALSE))</f>
      </c>
      <c r="G79" s="112"/>
      <c r="H79" s="514"/>
      <c r="I79" s="514"/>
      <c r="J79" s="743">
        <f t="shared" si="1"/>
        <v>0</v>
      </c>
      <c r="K79" s="106"/>
      <c r="L79" s="747">
        <f>IF(J79&gt;0,J79*K79,"")</f>
      </c>
      <c r="M79" s="110"/>
      <c r="N79" s="769">
        <f>IF(M79&gt;L79,Texte!A$180,"")</f>
      </c>
      <c r="O79" s="308"/>
      <c r="P79" s="308"/>
      <c r="Q79" s="308"/>
      <c r="R79" s="308"/>
      <c r="S79" s="653">
        <f>IF($B79="","",IF(AND($K79&gt;0.5,$K79&lt;=VLOOKUP($B79,W$72:Y$79,3)),Texte!$A$178,IF($K79&lt;=0.5,"",Texte!$A$179)))</f>
      </c>
      <c r="T79" s="51"/>
      <c r="U79" s="154"/>
      <c r="V79" s="154"/>
      <c r="W79" s="154" t="str">
        <f>Daten!B56</f>
        <v>Verrat</v>
      </c>
      <c r="Y79" s="302">
        <v>6.5</v>
      </c>
      <c r="Z79" s="151"/>
      <c r="AA79" s="517"/>
      <c r="AB79" s="282"/>
      <c r="AC79" s="262"/>
      <c r="AD79" s="307"/>
      <c r="AE79" s="262"/>
      <c r="AF79" s="155"/>
      <c r="AG79" s="297"/>
      <c r="AH79" s="181"/>
      <c r="AI79" s="181"/>
      <c r="AJ79" s="181"/>
      <c r="AK79" s="175"/>
      <c r="AL79" s="238"/>
      <c r="AM79" s="175"/>
      <c r="AN79" s="175"/>
      <c r="AO79" s="239"/>
      <c r="AP79" s="175"/>
      <c r="AQ79" s="175"/>
      <c r="AR79" s="175"/>
      <c r="AS79" s="175"/>
      <c r="AT79" s="175"/>
      <c r="AU79" s="175"/>
    </row>
    <row r="80" spans="1:47" ht="12.75" customHeight="1">
      <c r="A80" s="242"/>
      <c r="C80" s="309"/>
      <c r="D80" s="309"/>
      <c r="E80" s="309"/>
      <c r="F80" s="172"/>
      <c r="G80" s="172"/>
      <c r="H80" s="172"/>
      <c r="I80" s="310"/>
      <c r="J80" s="311"/>
      <c r="K80" s="312"/>
      <c r="L80" s="313">
        <f>SUM(L72:L79)</f>
        <v>0</v>
      </c>
      <c r="M80" s="314">
        <f>SUM(M76:M79)</f>
        <v>0</v>
      </c>
      <c r="N80" s="677"/>
      <c r="O80" s="510"/>
      <c r="P80" s="312"/>
      <c r="Q80" s="510"/>
      <c r="R80" s="510"/>
      <c r="S80" s="310"/>
      <c r="T80" s="310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81"/>
      <c r="AI80" s="181"/>
      <c r="AJ80" s="181"/>
      <c r="AK80" s="175"/>
      <c r="AL80" s="792"/>
      <c r="AM80" s="793"/>
      <c r="AN80" s="793"/>
      <c r="AO80" s="794"/>
      <c r="AP80" s="175"/>
      <c r="AQ80" s="175"/>
      <c r="AR80" s="175"/>
      <c r="AS80" s="175"/>
      <c r="AT80" s="175"/>
      <c r="AU80" s="175"/>
    </row>
    <row r="81" spans="2:47" ht="7.5" customHeight="1">
      <c r="B81" s="309"/>
      <c r="C81" s="309"/>
      <c r="D81" s="309"/>
      <c r="E81" s="309"/>
      <c r="F81" s="172"/>
      <c r="G81" s="172"/>
      <c r="H81" s="172"/>
      <c r="I81" s="310"/>
      <c r="J81" s="311"/>
      <c r="K81" s="311"/>
      <c r="L81" s="315"/>
      <c r="M81" s="216"/>
      <c r="N81" s="310"/>
      <c r="O81" s="310"/>
      <c r="P81" s="310"/>
      <c r="Q81" s="510"/>
      <c r="R81" s="510"/>
      <c r="S81" s="310"/>
      <c r="T81" s="310"/>
      <c r="U81" s="310"/>
      <c r="V81" s="310"/>
      <c r="W81" s="310"/>
      <c r="X81" s="310"/>
      <c r="Y81" s="310"/>
      <c r="Z81" s="310"/>
      <c r="AA81" s="166"/>
      <c r="AD81" s="167"/>
      <c r="AE81" s="168"/>
      <c r="AG81" s="167"/>
      <c r="AH81" s="166"/>
      <c r="AI81" s="181"/>
      <c r="AJ81" s="181"/>
      <c r="AK81" s="181"/>
      <c r="AL81" s="175"/>
      <c r="AM81" s="175"/>
      <c r="AN81" s="175"/>
      <c r="AO81" s="175"/>
      <c r="AP81" s="175"/>
      <c r="AQ81" s="175"/>
      <c r="AR81" s="175"/>
      <c r="AS81" s="175"/>
      <c r="AT81" s="175"/>
      <c r="AU81" s="175"/>
    </row>
    <row r="82" spans="2:48" ht="12.75" customHeight="1">
      <c r="B82" s="242" t="str">
        <f>Texte!A181</f>
        <v>Exploitation à l'année</v>
      </c>
      <c r="C82" s="309"/>
      <c r="D82" s="309"/>
      <c r="E82" s="309"/>
      <c r="F82" s="172"/>
      <c r="G82" s="172"/>
      <c r="H82" s="172"/>
      <c r="I82" s="310"/>
      <c r="J82" s="311"/>
      <c r="K82" s="311"/>
      <c r="L82" s="315"/>
      <c r="M82" s="216"/>
      <c r="N82" s="310"/>
      <c r="O82" s="310"/>
      <c r="P82" s="310"/>
      <c r="Q82" s="310"/>
      <c r="R82" s="310"/>
      <c r="S82" s="310"/>
      <c r="T82" s="310"/>
      <c r="U82" s="155"/>
      <c r="V82" s="155"/>
      <c r="W82" s="155"/>
      <c r="X82" s="155"/>
      <c r="Y82" s="155"/>
      <c r="Z82" s="155"/>
      <c r="AA82" s="155"/>
      <c r="AB82" s="155"/>
      <c r="AC82" s="155"/>
      <c r="AD82" s="167"/>
      <c r="AE82" s="168"/>
      <c r="AG82" s="167"/>
      <c r="AH82" s="166"/>
      <c r="AK82" s="169"/>
      <c r="AL82" s="175"/>
      <c r="AM82" s="238"/>
      <c r="AN82" s="175"/>
      <c r="AO82" s="175"/>
      <c r="AP82" s="239"/>
      <c r="AQ82" s="175"/>
      <c r="AR82" s="175"/>
      <c r="AS82" s="175"/>
      <c r="AT82" s="175"/>
      <c r="AU82" s="175"/>
      <c r="AV82" s="175"/>
    </row>
    <row r="83" spans="2:48" ht="12.75" customHeight="1">
      <c r="B83" s="242" t="str">
        <f>Texte!A182</f>
        <v>A1: Consommation de fourrage de base par tous les animaux </v>
      </c>
      <c r="C83" s="309"/>
      <c r="D83" s="309"/>
      <c r="E83" s="309"/>
      <c r="F83" s="172"/>
      <c r="G83" s="172"/>
      <c r="H83" s="172"/>
      <c r="I83" s="310"/>
      <c r="J83" s="311"/>
      <c r="K83" s="311"/>
      <c r="L83" s="748">
        <f>L80+L66</f>
        <v>0</v>
      </c>
      <c r="M83" s="310" t="str">
        <f>Texte!A102</f>
        <v>dt MS</v>
      </c>
      <c r="N83" s="310"/>
      <c r="O83" s="310"/>
      <c r="P83" s="310"/>
      <c r="Q83" s="310"/>
      <c r="R83" s="310"/>
      <c r="S83" s="310"/>
      <c r="T83" s="310"/>
      <c r="U83" s="155"/>
      <c r="V83" s="155"/>
      <c r="W83" s="155"/>
      <c r="X83" s="155"/>
      <c r="Y83" s="155"/>
      <c r="Z83" s="155"/>
      <c r="AA83" s="155"/>
      <c r="AB83" s="155"/>
      <c r="AC83" s="155"/>
      <c r="AD83" s="167"/>
      <c r="AE83" s="316"/>
      <c r="AG83" s="317"/>
      <c r="AH83" s="166"/>
      <c r="AI83" s="318"/>
      <c r="AK83" s="169"/>
      <c r="AL83" s="175"/>
      <c r="AM83" s="175"/>
      <c r="AN83" s="175"/>
      <c r="AO83" s="175"/>
      <c r="AP83" s="175"/>
      <c r="AQ83" s="175"/>
      <c r="AR83" s="175"/>
      <c r="AS83" s="175"/>
      <c r="AT83" s="175"/>
      <c r="AU83" s="175"/>
      <c r="AV83" s="175"/>
    </row>
    <row r="84" spans="2:48" ht="12.75" customHeight="1">
      <c r="B84" s="242" t="str">
        <f>Texte!A183</f>
        <v>A2: Consommation de fourrage de base par les animaux consommant des fourrages grossiers</v>
      </c>
      <c r="C84" s="309"/>
      <c r="D84" s="309"/>
      <c r="E84" s="309"/>
      <c r="F84" s="172"/>
      <c r="G84" s="172"/>
      <c r="H84" s="172"/>
      <c r="I84" s="310"/>
      <c r="J84" s="311"/>
      <c r="K84" s="311"/>
      <c r="L84" s="748">
        <f>SUM(L41:L58,L60:L65)</f>
        <v>0</v>
      </c>
      <c r="M84" s="310" t="str">
        <f>Texte!A102</f>
        <v>dt MS</v>
      </c>
      <c r="N84" s="310"/>
      <c r="O84" s="310"/>
      <c r="P84" s="310"/>
      <c r="Q84" s="310"/>
      <c r="R84" s="310"/>
      <c r="S84" s="310"/>
      <c r="T84" s="310"/>
      <c r="U84" s="155"/>
      <c r="V84" s="155"/>
      <c r="W84" s="156"/>
      <c r="X84" s="155"/>
      <c r="Y84" s="155"/>
      <c r="Z84" s="155"/>
      <c r="AA84" s="155"/>
      <c r="AB84" s="155"/>
      <c r="AC84" s="155"/>
      <c r="AD84" s="167"/>
      <c r="AE84" s="316"/>
      <c r="AG84" s="317"/>
      <c r="AH84" s="166"/>
      <c r="AI84" s="318"/>
      <c r="AK84" s="169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</row>
    <row r="85" spans="2:48" ht="12.75" customHeight="1">
      <c r="B85" s="242" t="str">
        <f>Texte!A184</f>
        <v>A3: Consommation de fourrage de prairie/pâtur. par les autres animaux</v>
      </c>
      <c r="C85" s="309"/>
      <c r="D85" s="309"/>
      <c r="E85" s="309"/>
      <c r="F85" s="172"/>
      <c r="G85" s="172"/>
      <c r="H85" s="172"/>
      <c r="I85" s="310"/>
      <c r="J85" s="311"/>
      <c r="K85" s="311"/>
      <c r="L85" s="748">
        <f>M80</f>
        <v>0</v>
      </c>
      <c r="M85" s="310" t="str">
        <f>Texte!A102</f>
        <v>dt MS</v>
      </c>
      <c r="N85" s="310"/>
      <c r="O85" s="310"/>
      <c r="P85" s="310"/>
      <c r="Q85" s="310"/>
      <c r="R85" s="310"/>
      <c r="S85" s="310"/>
      <c r="T85" s="310"/>
      <c r="U85" s="155"/>
      <c r="V85" s="155"/>
      <c r="W85" s="156"/>
      <c r="X85" s="155"/>
      <c r="Y85" s="155"/>
      <c r="Z85" s="155"/>
      <c r="AA85" s="155"/>
      <c r="AB85" s="155"/>
      <c r="AC85" s="155"/>
      <c r="AD85" s="167"/>
      <c r="AE85" s="316"/>
      <c r="AG85" s="317"/>
      <c r="AH85" s="166"/>
      <c r="AI85" s="318"/>
      <c r="AK85" s="169"/>
      <c r="AL85" s="175"/>
      <c r="AM85" s="175"/>
      <c r="AN85" s="175"/>
      <c r="AO85" s="175"/>
      <c r="AP85" s="175"/>
      <c r="AQ85" s="175"/>
      <c r="AR85" s="175"/>
      <c r="AS85" s="175"/>
      <c r="AT85" s="175"/>
      <c r="AU85" s="175"/>
      <c r="AV85" s="175"/>
    </row>
    <row r="86" spans="2:48" ht="12.75" customHeight="1">
      <c r="B86" s="242" t="str">
        <f>Texte!A185</f>
        <v>A4: Consommation de concentrés par les animaux autorisés </v>
      </c>
      <c r="C86" s="309"/>
      <c r="D86" s="309"/>
      <c r="E86" s="309"/>
      <c r="F86" s="172"/>
      <c r="G86" s="172"/>
      <c r="H86" s="172"/>
      <c r="I86" s="310"/>
      <c r="J86" s="311"/>
      <c r="K86" s="311"/>
      <c r="L86" s="315"/>
      <c r="M86" s="216"/>
      <c r="N86" s="748">
        <f>M66</f>
        <v>0</v>
      </c>
      <c r="O86" s="310" t="str">
        <f>Texte!A100</f>
        <v>dt MF</v>
      </c>
      <c r="P86" s="213"/>
      <c r="Q86" s="213"/>
      <c r="R86" s="213"/>
      <c r="S86" s="213"/>
      <c r="U86" s="155"/>
      <c r="V86" s="155"/>
      <c r="W86" s="155"/>
      <c r="X86" s="155"/>
      <c r="Y86" s="155"/>
      <c r="Z86" s="155"/>
      <c r="AA86" s="155"/>
      <c r="AB86" s="155"/>
      <c r="AC86" s="155"/>
      <c r="AD86" s="167"/>
      <c r="AE86" s="168"/>
      <c r="AG86" s="167"/>
      <c r="AH86" s="166"/>
      <c r="AK86" s="169"/>
      <c r="AL86" s="175"/>
      <c r="AM86" s="175"/>
      <c r="AN86" s="175"/>
      <c r="AO86" s="175"/>
      <c r="AP86" s="175"/>
      <c r="AQ86" s="175"/>
      <c r="AR86" s="175"/>
      <c r="AS86" s="175"/>
      <c r="AT86" s="175"/>
      <c r="AU86" s="175"/>
      <c r="AV86" s="175"/>
    </row>
    <row r="87" spans="2:47" ht="12.75" customHeight="1">
      <c r="B87" s="242" t="str">
        <f>Texte!A186</f>
        <v>A5: Consommation totale par les animaux consommant des fourrages grossiers</v>
      </c>
      <c r="C87" s="242"/>
      <c r="D87" s="242"/>
      <c r="E87" s="242"/>
      <c r="F87" s="172"/>
      <c r="G87" s="172"/>
      <c r="H87" s="310"/>
      <c r="I87" s="311"/>
      <c r="J87" s="311"/>
      <c r="K87" s="315"/>
      <c r="L87" s="319"/>
      <c r="M87" s="320"/>
      <c r="N87" s="748">
        <f>L84+(N86*0.88)</f>
        <v>0</v>
      </c>
      <c r="O87" s="310" t="str">
        <f>Texte!A102</f>
        <v>dt MS</v>
      </c>
      <c r="P87" s="213"/>
      <c r="Q87" s="213"/>
      <c r="R87" s="213"/>
      <c r="S87" s="213"/>
      <c r="U87" s="155"/>
      <c r="V87" s="155"/>
      <c r="W87" s="155"/>
      <c r="X87" s="155"/>
      <c r="Y87" s="155"/>
      <c r="Z87" s="155"/>
      <c r="AA87" s="155"/>
      <c r="AB87" s="155"/>
      <c r="AC87" s="155"/>
      <c r="AK87" s="175"/>
      <c r="AL87" s="175"/>
      <c r="AM87" s="175"/>
      <c r="AN87" s="175"/>
      <c r="AO87" s="175"/>
      <c r="AP87" s="175"/>
      <c r="AQ87" s="175"/>
      <c r="AR87" s="175"/>
      <c r="AS87" s="175"/>
      <c r="AT87" s="175"/>
      <c r="AU87" s="175"/>
    </row>
    <row r="88" spans="2:47" ht="12.75" customHeight="1">
      <c r="B88" s="242"/>
      <c r="C88" s="242"/>
      <c r="D88" s="242"/>
      <c r="E88" s="242"/>
      <c r="F88" s="172"/>
      <c r="G88" s="172"/>
      <c r="H88" s="310"/>
      <c r="I88" s="311"/>
      <c r="J88" s="311"/>
      <c r="K88" s="315"/>
      <c r="L88" s="319"/>
      <c r="M88" s="320"/>
      <c r="N88" s="640"/>
      <c r="O88" s="310"/>
      <c r="P88" s="213"/>
      <c r="Q88" s="213"/>
      <c r="R88" s="213"/>
      <c r="S88" s="213"/>
      <c r="U88" s="155"/>
      <c r="V88" s="155"/>
      <c r="W88" s="155"/>
      <c r="X88" s="155"/>
      <c r="Y88" s="155"/>
      <c r="Z88" s="155"/>
      <c r="AA88" s="155"/>
      <c r="AB88" s="155"/>
      <c r="AC88" s="155"/>
      <c r="AK88" s="175"/>
      <c r="AL88" s="175"/>
      <c r="AM88" s="175"/>
      <c r="AN88" s="175"/>
      <c r="AO88" s="175"/>
      <c r="AP88" s="175"/>
      <c r="AQ88" s="175"/>
      <c r="AR88" s="175"/>
      <c r="AS88" s="175"/>
      <c r="AT88" s="175"/>
      <c r="AU88" s="175"/>
    </row>
    <row r="89" spans="2:47" ht="12.75" customHeight="1">
      <c r="B89" s="242" t="str">
        <f>Texte!A187</f>
        <v>Estivage</v>
      </c>
      <c r="C89" s="242"/>
      <c r="D89" s="242"/>
      <c r="E89" s="242"/>
      <c r="F89" s="172"/>
      <c r="G89" s="172"/>
      <c r="H89" s="310"/>
      <c r="I89" s="311"/>
      <c r="J89" s="311"/>
      <c r="K89" s="315"/>
      <c r="L89" s="319"/>
      <c r="M89" s="320"/>
      <c r="N89" s="640"/>
      <c r="O89" s="310"/>
      <c r="P89" s="213"/>
      <c r="Q89" s="213"/>
      <c r="R89" s="213"/>
      <c r="S89" s="213"/>
      <c r="U89" s="155"/>
      <c r="V89" s="155"/>
      <c r="W89" s="155"/>
      <c r="X89" s="155"/>
      <c r="Y89" s="155"/>
      <c r="Z89" s="155"/>
      <c r="AA89" s="155"/>
      <c r="AB89" s="155"/>
      <c r="AC89" s="155"/>
      <c r="AK89" s="175"/>
      <c r="AL89" s="175"/>
      <c r="AM89" s="175"/>
      <c r="AN89" s="175"/>
      <c r="AO89" s="175"/>
      <c r="AP89" s="175"/>
      <c r="AQ89" s="175"/>
      <c r="AR89" s="175"/>
      <c r="AS89" s="175"/>
      <c r="AT89" s="175"/>
      <c r="AU89" s="175"/>
    </row>
    <row r="90" spans="2:47" ht="12.75" customHeight="1">
      <c r="B90" s="242" t="str">
        <f>Texte!A188</f>
        <v>A6: Consommation de fourrage de base par les animaux consommant des fourrages grossiers</v>
      </c>
      <c r="C90" s="242"/>
      <c r="D90" s="242"/>
      <c r="E90" s="242"/>
      <c r="F90" s="172"/>
      <c r="G90" s="172"/>
      <c r="H90" s="310"/>
      <c r="I90" s="311"/>
      <c r="J90" s="311"/>
      <c r="K90" s="315"/>
      <c r="L90" s="748">
        <f>SUM(Q41:Q65)</f>
        <v>0</v>
      </c>
      <c r="M90" s="310" t="str">
        <f>Texte!A102</f>
        <v>dt MS</v>
      </c>
      <c r="N90" s="640"/>
      <c r="O90" s="310"/>
      <c r="P90" s="213"/>
      <c r="Q90" s="213"/>
      <c r="R90" s="213"/>
      <c r="S90" s="213"/>
      <c r="U90" s="155"/>
      <c r="V90" s="155"/>
      <c r="W90" s="155"/>
      <c r="X90" s="155"/>
      <c r="Y90" s="155"/>
      <c r="Z90" s="155"/>
      <c r="AA90" s="155"/>
      <c r="AB90" s="155"/>
      <c r="AC90" s="155"/>
      <c r="AK90" s="175"/>
      <c r="AL90" s="175"/>
      <c r="AM90" s="175"/>
      <c r="AN90" s="175"/>
      <c r="AO90" s="175"/>
      <c r="AP90" s="175"/>
      <c r="AQ90" s="175"/>
      <c r="AR90" s="175"/>
      <c r="AS90" s="175"/>
      <c r="AT90" s="175"/>
      <c r="AU90" s="175"/>
    </row>
    <row r="91" spans="2:47" ht="12.75" customHeight="1">
      <c r="B91" s="242" t="str">
        <f>Texte!A189</f>
        <v>A7: Consommation de concentrés par les animaux autorisés </v>
      </c>
      <c r="C91" s="242"/>
      <c r="D91" s="242"/>
      <c r="E91" s="242"/>
      <c r="F91" s="172"/>
      <c r="G91" s="172"/>
      <c r="H91" s="310"/>
      <c r="I91" s="311"/>
      <c r="J91" s="311"/>
      <c r="K91" s="315"/>
      <c r="L91" s="319"/>
      <c r="M91" s="320"/>
      <c r="N91" s="749">
        <f>SUM(R41:R65)*0.88</f>
        <v>0</v>
      </c>
      <c r="O91" s="310" t="str">
        <f>Texte!A102</f>
        <v>dt MS</v>
      </c>
      <c r="P91" s="213"/>
      <c r="Q91" s="213"/>
      <c r="R91" s="213"/>
      <c r="S91" s="213"/>
      <c r="U91" s="155"/>
      <c r="V91" s="155"/>
      <c r="W91" s="155"/>
      <c r="X91" s="155"/>
      <c r="Y91" s="155"/>
      <c r="Z91" s="155"/>
      <c r="AA91" s="155"/>
      <c r="AB91" s="155"/>
      <c r="AC91" s="155"/>
      <c r="AK91" s="175"/>
      <c r="AL91" s="175"/>
      <c r="AM91" s="175"/>
      <c r="AN91" s="175"/>
      <c r="AO91" s="175"/>
      <c r="AP91" s="175"/>
      <c r="AQ91" s="175"/>
      <c r="AR91" s="175"/>
      <c r="AS91" s="175"/>
      <c r="AT91" s="175"/>
      <c r="AU91" s="175"/>
    </row>
    <row r="92" spans="2:47" ht="12.75" customHeight="1">
      <c r="B92" s="242" t="str">
        <f>Texte!A190</f>
        <v>A8: jours d'estivage selon AniCalc (BDTA)</v>
      </c>
      <c r="C92" s="242"/>
      <c r="D92" s="242"/>
      <c r="E92" s="242"/>
      <c r="F92" s="172"/>
      <c r="G92" s="172"/>
      <c r="H92" s="310"/>
      <c r="I92" s="311"/>
      <c r="J92" s="311"/>
      <c r="K92" s="315"/>
      <c r="L92" s="319"/>
      <c r="M92" s="320"/>
      <c r="N92" s="640"/>
      <c r="O92" s="310"/>
      <c r="P92" s="213"/>
      <c r="Q92" s="748">
        <f>SUM(P41:P58)</f>
        <v>0</v>
      </c>
      <c r="R92" s="213"/>
      <c r="S92" s="213"/>
      <c r="U92" s="155"/>
      <c r="V92" s="155"/>
      <c r="W92" s="155"/>
      <c r="X92" s="155"/>
      <c r="Y92" s="155"/>
      <c r="Z92" s="155"/>
      <c r="AA92" s="155"/>
      <c r="AB92" s="155"/>
      <c r="AC92" s="155"/>
      <c r="AK92" s="175"/>
      <c r="AL92" s="175"/>
      <c r="AM92" s="175"/>
      <c r="AN92" s="175"/>
      <c r="AO92" s="175"/>
      <c r="AP92" s="175"/>
      <c r="AQ92" s="175"/>
      <c r="AR92" s="175"/>
      <c r="AS92" s="175"/>
      <c r="AT92" s="175"/>
      <c r="AU92" s="175"/>
    </row>
    <row r="93" spans="2:47" ht="11.25" customHeight="1">
      <c r="B93" s="242"/>
      <c r="C93" s="242"/>
      <c r="D93" s="242"/>
      <c r="E93" s="242"/>
      <c r="F93" s="172"/>
      <c r="G93" s="172"/>
      <c r="H93" s="310"/>
      <c r="I93" s="311"/>
      <c r="J93" s="311"/>
      <c r="K93" s="315"/>
      <c r="L93" s="319"/>
      <c r="M93" s="320"/>
      <c r="N93" s="213"/>
      <c r="O93" s="213"/>
      <c r="P93" s="213"/>
      <c r="Q93" s="213"/>
      <c r="R93" s="213"/>
      <c r="S93" s="213"/>
      <c r="T93" s="310"/>
      <c r="U93" s="155"/>
      <c r="V93" s="155"/>
      <c r="W93" s="155"/>
      <c r="X93" s="155"/>
      <c r="Y93" s="155"/>
      <c r="Z93" s="155"/>
      <c r="AA93" s="155"/>
      <c r="AB93" s="155"/>
      <c r="AC93" s="155"/>
      <c r="AK93" s="175"/>
      <c r="AL93" s="175"/>
      <c r="AM93" s="175"/>
      <c r="AN93" s="175"/>
      <c r="AO93" s="175"/>
      <c r="AP93" s="175"/>
      <c r="AQ93" s="175"/>
      <c r="AR93" s="175"/>
      <c r="AS93" s="175"/>
      <c r="AT93" s="175"/>
      <c r="AU93" s="175"/>
    </row>
    <row r="94" spans="2:47" ht="16.5" customHeight="1">
      <c r="B94" s="200" t="str">
        <f>Texte!A192</f>
        <v>Partie B: Production de fourrages</v>
      </c>
      <c r="C94" s="200"/>
      <c r="D94" s="200"/>
      <c r="E94" s="200"/>
      <c r="I94" s="198"/>
      <c r="L94" s="353"/>
      <c r="N94" s="198"/>
      <c r="O94" s="200" t="str">
        <f>Texte!A240</f>
        <v>Vache mère &amp; veau</v>
      </c>
      <c r="P94" s="198"/>
      <c r="Q94" s="198"/>
      <c r="R94" s="198"/>
      <c r="S94" s="198"/>
      <c r="V94" s="322"/>
      <c r="X94" s="323"/>
      <c r="Y94" s="324"/>
      <c r="AF94" s="317"/>
      <c r="AK94" s="175"/>
      <c r="AL94" s="175"/>
      <c r="AM94" s="175"/>
      <c r="AN94" s="175"/>
      <c r="AO94" s="175"/>
      <c r="AP94" s="175"/>
      <c r="AQ94" s="175"/>
      <c r="AR94" s="175"/>
      <c r="AS94" s="175"/>
      <c r="AT94" s="175"/>
      <c r="AU94" s="175"/>
    </row>
    <row r="95" spans="2:47" ht="7.5" customHeight="1">
      <c r="B95" s="200"/>
      <c r="C95" s="200"/>
      <c r="D95" s="200"/>
      <c r="E95" s="200"/>
      <c r="I95" s="198"/>
      <c r="K95" s="198"/>
      <c r="L95" s="198"/>
      <c r="N95" s="198"/>
      <c r="O95" s="198"/>
      <c r="P95" s="198"/>
      <c r="Q95" s="198"/>
      <c r="R95" s="198"/>
      <c r="S95" s="198"/>
      <c r="Y95" s="172"/>
      <c r="AF95" s="317"/>
      <c r="AK95" s="175"/>
      <c r="AL95" s="175"/>
      <c r="AM95" s="175"/>
      <c r="AN95" s="175"/>
      <c r="AO95" s="175"/>
      <c r="AP95" s="175"/>
      <c r="AQ95" s="175"/>
      <c r="AR95" s="175"/>
      <c r="AS95" s="175"/>
      <c r="AT95" s="175"/>
      <c r="AU95" s="175"/>
    </row>
    <row r="96" spans="2:47" ht="12.75" customHeight="1">
      <c r="B96" s="325"/>
      <c r="C96" s="326"/>
      <c r="D96" s="326"/>
      <c r="E96" s="326"/>
      <c r="F96" s="327"/>
      <c r="G96" s="327"/>
      <c r="H96" s="327"/>
      <c r="I96" s="328" t="str">
        <f>Texte!A193</f>
        <v>Rend.</v>
      </c>
      <c r="J96" s="329" t="str">
        <f>Texte!A196</f>
        <v>Surf.</v>
      </c>
      <c r="K96" s="329" t="str">
        <f>Texte!A195</f>
        <v>Rend.</v>
      </c>
      <c r="L96" s="329" t="str">
        <f>Texte!A198</f>
        <v>Quant.</v>
      </c>
      <c r="O96" s="706" t="str">
        <f>Texte!A241</f>
        <v>Fourragé aux</v>
      </c>
      <c r="P96" s="707"/>
      <c r="Q96" s="198"/>
      <c r="R96" s="198"/>
      <c r="S96" s="198"/>
      <c r="Y96" s="172"/>
      <c r="AD96" s="330"/>
      <c r="AF96" s="317"/>
      <c r="AK96" s="175"/>
      <c r="AL96" s="175"/>
      <c r="AM96" s="175"/>
      <c r="AN96" s="175"/>
      <c r="AO96" s="175"/>
      <c r="AP96" s="175"/>
      <c r="AQ96" s="175"/>
      <c r="AR96" s="175"/>
      <c r="AS96" s="175"/>
      <c r="AT96" s="175"/>
      <c r="AU96" s="175"/>
    </row>
    <row r="97" spans="2:47" ht="12.75" customHeight="1">
      <c r="B97" s="331"/>
      <c r="C97" s="332"/>
      <c r="D97" s="332"/>
      <c r="E97" s="332"/>
      <c r="F97" s="333"/>
      <c r="G97" s="333"/>
      <c r="H97" s="333"/>
      <c r="I97" s="334" t="str">
        <f>Texte!A194</f>
        <v>stand.</v>
      </c>
      <c r="J97" s="267" t="s">
        <v>1202</v>
      </c>
      <c r="K97" s="267" t="str">
        <f>Texte!A197</f>
        <v>dt MS/ha</v>
      </c>
      <c r="L97" s="267" t="str">
        <f>Texte!A199</f>
        <v>dt MS</v>
      </c>
      <c r="O97" s="712" t="str">
        <f>Texte!A242</f>
        <v>vaches &amp; veaux dt MS</v>
      </c>
      <c r="P97" s="713"/>
      <c r="V97" s="204" t="s">
        <v>1142</v>
      </c>
      <c r="Y97" s="172"/>
      <c r="AK97" s="175"/>
      <c r="AL97" s="175"/>
      <c r="AM97" s="175"/>
      <c r="AN97" s="175"/>
      <c r="AO97" s="175"/>
      <c r="AP97" s="175"/>
      <c r="AQ97" s="175"/>
      <c r="AR97" s="175"/>
      <c r="AS97" s="175"/>
      <c r="AT97" s="175"/>
      <c r="AU97" s="175"/>
    </row>
    <row r="98" spans="2:47" ht="12.75" customHeight="1">
      <c r="B98" s="335" t="str">
        <f>Texte!A203</f>
        <v>Maïs plante/maïs ensilage plante entière</v>
      </c>
      <c r="C98" s="336"/>
      <c r="D98" s="336"/>
      <c r="E98" s="336"/>
      <c r="F98" s="336"/>
      <c r="G98" s="336"/>
      <c r="H98" s="337"/>
      <c r="I98" s="118">
        <v>170</v>
      </c>
      <c r="J98" s="83"/>
      <c r="K98" s="84">
        <v>170</v>
      </c>
      <c r="L98" s="750">
        <f>J98*K98</f>
        <v>0</v>
      </c>
      <c r="O98" s="708"/>
      <c r="P98" s="709"/>
      <c r="Q98" s="548">
        <f>IF($O98&gt;$L98,Texte!A$243,"")</f>
      </c>
      <c r="V98" s="204" t="b">
        <f>IF(AND(ISBLANK(O98),L98&lt;&gt;0),1)</f>
        <v>0</v>
      </c>
      <c r="Y98" s="172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</row>
    <row r="99" spans="2:47" ht="12.75" customHeight="1">
      <c r="B99" s="338" t="str">
        <f>Texte!A204</f>
        <v>Betterave fourragère (sans feuille)</v>
      </c>
      <c r="C99" s="339"/>
      <c r="D99" s="339"/>
      <c r="E99" s="339"/>
      <c r="F99" s="339"/>
      <c r="G99" s="339"/>
      <c r="H99" s="340"/>
      <c r="I99" s="118">
        <v>175</v>
      </c>
      <c r="J99" s="83"/>
      <c r="K99" s="84"/>
      <c r="L99" s="750">
        <f>J99*K99</f>
        <v>0</v>
      </c>
      <c r="O99" s="710"/>
      <c r="P99" s="711"/>
      <c r="Q99" s="548">
        <f>IF($O99&gt;$L99,Texte!A$243,"")</f>
      </c>
      <c r="V99" s="204" t="b">
        <f>IF(AND(ISBLANK(O99),L99&lt;&gt;0),1)</f>
        <v>0</v>
      </c>
      <c r="Y99" s="172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</row>
    <row r="100" spans="2:47" ht="12.75" customHeight="1">
      <c r="B100" s="338" t="str">
        <f>Texte!A205</f>
        <v>Maïs à faucher en vert (2ème culture)</v>
      </c>
      <c r="C100" s="339"/>
      <c r="D100" s="339"/>
      <c r="E100" s="339"/>
      <c r="F100" s="339"/>
      <c r="G100" s="339"/>
      <c r="H100" s="340"/>
      <c r="I100" s="118">
        <v>60</v>
      </c>
      <c r="J100" s="83"/>
      <c r="K100" s="84"/>
      <c r="L100" s="750">
        <f>J100*K100</f>
        <v>0</v>
      </c>
      <c r="N100" s="343"/>
      <c r="O100" s="710"/>
      <c r="P100" s="711"/>
      <c r="Q100" s="548">
        <f>IF($O100&gt;$L100,Texte!A$243,"")</f>
      </c>
      <c r="V100" s="204" t="b">
        <f>IF(AND(ISBLANK(O100),L100&lt;&gt;0),1)</f>
        <v>0</v>
      </c>
      <c r="Y100" s="172"/>
      <c r="AK100" s="175"/>
      <c r="AL100" s="175"/>
      <c r="AM100" s="175"/>
      <c r="AN100" s="175"/>
      <c r="AO100" s="175"/>
      <c r="AP100" s="175"/>
      <c r="AQ100" s="175"/>
      <c r="AR100" s="175"/>
      <c r="AS100" s="175"/>
      <c r="AT100" s="175"/>
      <c r="AU100" s="175"/>
    </row>
    <row r="101" spans="2:47" ht="12.75" customHeight="1">
      <c r="B101" s="338" t="str">
        <f>Texte!A206</f>
        <v>Paille de céréales de l'exploitation affouragée</v>
      </c>
      <c r="C101" s="339"/>
      <c r="D101" s="339"/>
      <c r="E101" s="339"/>
      <c r="F101" s="339"/>
      <c r="G101" s="339"/>
      <c r="H101" s="340"/>
      <c r="I101" s="118">
        <v>40</v>
      </c>
      <c r="J101" s="341"/>
      <c r="K101" s="342"/>
      <c r="L101" s="103"/>
      <c r="N101" s="343"/>
      <c r="O101" s="710"/>
      <c r="P101" s="711"/>
      <c r="Q101" s="548">
        <f>IF($O101&gt;$L101,Texte!A$243,"")</f>
      </c>
      <c r="V101" s="204" t="b">
        <f>IF(AND(ISBLANK(O101),L101&lt;&gt;0),1)</f>
        <v>0</v>
      </c>
      <c r="Y101" s="349" t="s">
        <v>359</v>
      </c>
      <c r="AK101" s="175"/>
      <c r="AL101" s="175"/>
      <c r="AM101" s="175"/>
      <c r="AN101" s="175"/>
      <c r="AO101" s="175"/>
      <c r="AP101" s="175"/>
      <c r="AQ101" s="175"/>
      <c r="AR101" s="175"/>
      <c r="AS101" s="175"/>
      <c r="AT101" s="175"/>
      <c r="AU101" s="175"/>
    </row>
    <row r="102" spans="2:47" ht="12.75" customHeight="1">
      <c r="B102" s="344" t="str">
        <f>Texte!A207</f>
        <v>Feuilles de betteraves de l'exploitation affouragées</v>
      </c>
      <c r="C102" s="345"/>
      <c r="D102" s="345"/>
      <c r="E102" s="345"/>
      <c r="F102" s="345"/>
      <c r="G102" s="345"/>
      <c r="H102" s="346"/>
      <c r="I102" s="119">
        <v>50</v>
      </c>
      <c r="J102" s="347"/>
      <c r="K102" s="348"/>
      <c r="L102" s="104"/>
      <c r="O102" s="710"/>
      <c r="P102" s="711"/>
      <c r="Q102" s="548">
        <f>IF($O102&gt;$L102,Texte!A$243,"")</f>
      </c>
      <c r="V102" s="204" t="b">
        <f>IF(AND(ISBLANK(O102),L102&lt;&gt;0),1)</f>
        <v>0</v>
      </c>
      <c r="Y102" s="427" t="s">
        <v>851</v>
      </c>
      <c r="AK102" s="175"/>
      <c r="AL102" s="175"/>
      <c r="AM102" s="175"/>
      <c r="AN102" s="175"/>
      <c r="AO102" s="175"/>
      <c r="AP102" s="175"/>
      <c r="AQ102" s="175"/>
      <c r="AR102" s="175"/>
      <c r="AS102" s="175"/>
      <c r="AT102" s="175"/>
      <c r="AU102" s="175"/>
    </row>
    <row r="103" spans="2:47" ht="12.75" customHeight="1">
      <c r="B103" s="335" t="str">
        <f>Texte!A208</f>
        <v>Dérobées, semis de PA d'été, rompue de printemps (si récoltés)</v>
      </c>
      <c r="C103" s="336"/>
      <c r="D103" s="336"/>
      <c r="E103" s="336"/>
      <c r="F103" s="336"/>
      <c r="G103" s="336"/>
      <c r="H103" s="337"/>
      <c r="I103" s="120">
        <v>25</v>
      </c>
      <c r="J103" s="580"/>
      <c r="K103" s="83">
        <v>25</v>
      </c>
      <c r="L103" s="751">
        <f aca="true" t="shared" si="6" ref="L103:L110">J103*K103</f>
        <v>0</v>
      </c>
      <c r="O103" s="700"/>
      <c r="P103" s="701"/>
      <c r="Q103" s="352"/>
      <c r="R103" s="352"/>
      <c r="S103" s="352"/>
      <c r="V103" s="204">
        <f>SUM(V98:V102)</f>
        <v>0</v>
      </c>
      <c r="W103" s="766" t="s">
        <v>1143</v>
      </c>
      <c r="X103" s="204">
        <v>25</v>
      </c>
      <c r="Y103" s="515">
        <f>IF($K103&gt;$X103,1,"")</f>
      </c>
      <c r="AK103" s="175"/>
      <c r="AL103" s="175"/>
      <c r="AM103" s="175"/>
      <c r="AN103" s="175"/>
      <c r="AO103" s="175"/>
      <c r="AP103" s="175"/>
      <c r="AQ103" s="175"/>
      <c r="AR103" s="175"/>
      <c r="AS103" s="175"/>
      <c r="AT103" s="175"/>
      <c r="AU103" s="175"/>
    </row>
    <row r="104" spans="2:47" ht="12.75" customHeight="1">
      <c r="B104" s="338" t="str">
        <f>Texte!A209</f>
        <v>Production de semences: Légumineuses pures</v>
      </c>
      <c r="C104" s="339"/>
      <c r="D104" s="339"/>
      <c r="E104" s="339"/>
      <c r="F104" s="339"/>
      <c r="G104" s="339"/>
      <c r="H104" s="340"/>
      <c r="I104" s="121" t="s">
        <v>102</v>
      </c>
      <c r="J104" s="83"/>
      <c r="K104" s="83"/>
      <c r="L104" s="750">
        <f t="shared" si="6"/>
        <v>0</v>
      </c>
      <c r="O104" s="702"/>
      <c r="P104" s="703"/>
      <c r="Q104" s="352"/>
      <c r="R104" s="352"/>
      <c r="S104" s="352"/>
      <c r="X104" s="204">
        <v>120</v>
      </c>
      <c r="Y104" s="515">
        <f>IF($K104&gt;$X104,1,"")</f>
      </c>
      <c r="Z104" s="473"/>
      <c r="AK104" s="175"/>
      <c r="AL104" s="175"/>
      <c r="AM104" s="175"/>
      <c r="AN104" s="175"/>
      <c r="AO104" s="175"/>
      <c r="AP104" s="175"/>
      <c r="AQ104" s="175"/>
      <c r="AR104" s="175"/>
      <c r="AS104" s="175"/>
      <c r="AT104" s="175"/>
      <c r="AU104" s="175"/>
    </row>
    <row r="105" spans="2:47" ht="12.75" customHeight="1">
      <c r="B105" s="338" t="str">
        <f>Texte!A210</f>
        <v>Production de semences: Graminées pures</v>
      </c>
      <c r="C105" s="339"/>
      <c r="D105" s="339"/>
      <c r="E105" s="339"/>
      <c r="F105" s="339"/>
      <c r="G105" s="339"/>
      <c r="H105" s="340"/>
      <c r="I105" s="121" t="s">
        <v>102</v>
      </c>
      <c r="J105" s="83"/>
      <c r="K105" s="83"/>
      <c r="L105" s="750">
        <f t="shared" si="6"/>
        <v>0</v>
      </c>
      <c r="N105" s="353"/>
      <c r="O105" s="702"/>
      <c r="P105" s="703"/>
      <c r="Q105" s="694"/>
      <c r="R105" s="694"/>
      <c r="S105" s="694"/>
      <c r="X105" s="204">
        <v>180</v>
      </c>
      <c r="Y105" s="515">
        <f aca="true" t="shared" si="7" ref="Y105:Y111">IF($K105&gt;$X105,1,"")</f>
      </c>
      <c r="Z105" s="473"/>
      <c r="AK105" s="175"/>
      <c r="AL105" s="175"/>
      <c r="AM105" s="175"/>
      <c r="AN105" s="175"/>
      <c r="AO105" s="175"/>
      <c r="AP105" s="175"/>
      <c r="AQ105" s="175"/>
      <c r="AR105" s="175"/>
      <c r="AS105" s="175"/>
      <c r="AT105" s="175"/>
      <c r="AU105" s="175"/>
    </row>
    <row r="106" spans="2:47" ht="12.75" customHeight="1">
      <c r="B106" s="338" t="str">
        <f>Texte!A211</f>
        <v>Prairies extensives</v>
      </c>
      <c r="C106" s="339"/>
      <c r="D106" s="339"/>
      <c r="E106" s="339"/>
      <c r="F106" s="339"/>
      <c r="G106" s="339"/>
      <c r="H106" s="340"/>
      <c r="I106" s="121" t="s">
        <v>335</v>
      </c>
      <c r="J106" s="83"/>
      <c r="K106" s="83"/>
      <c r="L106" s="750">
        <f t="shared" si="6"/>
        <v>0</v>
      </c>
      <c r="N106" s="353"/>
      <c r="O106" s="702"/>
      <c r="P106" s="703"/>
      <c r="Q106" s="694"/>
      <c r="R106" s="694"/>
      <c r="S106" s="694"/>
      <c r="X106" s="204">
        <v>30</v>
      </c>
      <c r="Y106" s="515">
        <f t="shared" si="7"/>
      </c>
      <c r="Z106" s="473"/>
      <c r="AK106" s="175"/>
      <c r="AL106" s="175"/>
      <c r="AM106" s="175"/>
      <c r="AN106" s="175"/>
      <c r="AO106" s="175"/>
      <c r="AP106" s="175"/>
      <c r="AQ106" s="175"/>
      <c r="AR106" s="175"/>
      <c r="AS106" s="175"/>
      <c r="AT106" s="175"/>
      <c r="AU106" s="175"/>
    </row>
    <row r="107" spans="2:47" ht="12.75" customHeight="1">
      <c r="B107" s="338" t="str">
        <f>Texte!A212</f>
        <v>Autres prairies avec interdiction de fumure</v>
      </c>
      <c r="C107" s="339"/>
      <c r="D107" s="339"/>
      <c r="E107" s="339"/>
      <c r="F107" s="339"/>
      <c r="G107" s="339"/>
      <c r="H107" s="340"/>
      <c r="I107" s="121" t="s">
        <v>335</v>
      </c>
      <c r="J107" s="83"/>
      <c r="K107" s="83"/>
      <c r="L107" s="750">
        <f t="shared" si="6"/>
        <v>0</v>
      </c>
      <c r="N107" s="353"/>
      <c r="O107" s="702"/>
      <c r="P107" s="703"/>
      <c r="Q107" s="694"/>
      <c r="R107" s="694"/>
      <c r="S107" s="694"/>
      <c r="X107" s="204">
        <v>30</v>
      </c>
      <c r="Y107" s="515">
        <f t="shared" si="7"/>
      </c>
      <c r="Z107" s="473"/>
      <c r="AK107" s="175"/>
      <c r="AL107" s="175"/>
      <c r="AM107" s="175"/>
      <c r="AN107" s="175"/>
      <c r="AO107" s="175"/>
      <c r="AP107" s="175"/>
      <c r="AQ107" s="175"/>
      <c r="AR107" s="175"/>
      <c r="AS107" s="175"/>
      <c r="AT107" s="175"/>
      <c r="AU107" s="175"/>
    </row>
    <row r="108" spans="2:47" ht="12.75" customHeight="1">
      <c r="B108" s="338" t="str">
        <f>Texte!A213</f>
        <v>Pâturages extensifs, pâturages boisés</v>
      </c>
      <c r="C108" s="339"/>
      <c r="D108" s="339"/>
      <c r="E108" s="339"/>
      <c r="F108" s="339"/>
      <c r="G108" s="339"/>
      <c r="H108" s="340"/>
      <c r="I108" s="121" t="s">
        <v>103</v>
      </c>
      <c r="J108" s="83"/>
      <c r="K108" s="83"/>
      <c r="L108" s="750">
        <f t="shared" si="6"/>
        <v>0</v>
      </c>
      <c r="N108" s="353"/>
      <c r="O108" s="702"/>
      <c r="P108" s="703"/>
      <c r="Q108" s="694"/>
      <c r="R108" s="694"/>
      <c r="S108" s="694"/>
      <c r="X108" s="204">
        <v>25</v>
      </c>
      <c r="Y108" s="515">
        <f t="shared" si="7"/>
      </c>
      <c r="Z108" s="473"/>
      <c r="AK108" s="175"/>
      <c r="AL108" s="175"/>
      <c r="AM108" s="175"/>
      <c r="AN108" s="175"/>
      <c r="AO108" s="175"/>
      <c r="AP108" s="175"/>
      <c r="AQ108" s="175"/>
      <c r="AR108" s="175"/>
      <c r="AS108" s="175"/>
      <c r="AT108" s="175"/>
      <c r="AU108" s="175"/>
    </row>
    <row r="109" spans="2:47" ht="12.75" customHeight="1">
      <c r="B109" s="338" t="str">
        <f>Texte!A214</f>
        <v>Prairies et pâturages</v>
      </c>
      <c r="C109" s="339"/>
      <c r="D109" s="339"/>
      <c r="E109" s="339" t="str">
        <f>Texte!A215</f>
        <v>peu intensifs  (1-3 utilisations) </v>
      </c>
      <c r="F109" s="339"/>
      <c r="G109" s="339"/>
      <c r="H109" s="340"/>
      <c r="I109" s="121" t="s">
        <v>337</v>
      </c>
      <c r="J109" s="83"/>
      <c r="K109" s="83"/>
      <c r="L109" s="750">
        <f t="shared" si="6"/>
        <v>0</v>
      </c>
      <c r="N109" s="353"/>
      <c r="O109" s="702"/>
      <c r="P109" s="703"/>
      <c r="Q109" s="694"/>
      <c r="R109" s="694"/>
      <c r="S109" s="694"/>
      <c r="X109" s="204">
        <v>65</v>
      </c>
      <c r="Y109" s="515">
        <f t="shared" si="7"/>
      </c>
      <c r="Z109" s="473"/>
      <c r="AK109" s="175"/>
      <c r="AL109" s="175"/>
      <c r="AM109" s="175"/>
      <c r="AN109" s="175"/>
      <c r="AO109" s="175"/>
      <c r="AP109" s="175"/>
      <c r="AQ109" s="175"/>
      <c r="AR109" s="175"/>
      <c r="AS109" s="175"/>
      <c r="AT109" s="175"/>
      <c r="AU109" s="175"/>
    </row>
    <row r="110" spans="2:47" ht="12.75" customHeight="1">
      <c r="B110" s="338"/>
      <c r="C110" s="339"/>
      <c r="D110" s="339"/>
      <c r="E110" s="339" t="str">
        <f>Texte!A216</f>
        <v>mi-intensifs    (1-4 utilisations) </v>
      </c>
      <c r="F110" s="339"/>
      <c r="G110" s="339"/>
      <c r="H110" s="340"/>
      <c r="I110" s="121" t="s">
        <v>339</v>
      </c>
      <c r="J110" s="83"/>
      <c r="K110" s="83"/>
      <c r="L110" s="750">
        <f t="shared" si="6"/>
        <v>0</v>
      </c>
      <c r="N110" s="353"/>
      <c r="O110" s="702"/>
      <c r="P110" s="703"/>
      <c r="Q110" s="694"/>
      <c r="R110" s="694"/>
      <c r="S110" s="694"/>
      <c r="X110" s="204">
        <v>100</v>
      </c>
      <c r="Y110" s="515">
        <f t="shared" si="7"/>
      </c>
      <c r="Z110" s="473"/>
      <c r="AK110" s="175"/>
      <c r="AL110" s="175"/>
      <c r="AM110" s="175"/>
      <c r="AN110" s="175"/>
      <c r="AO110" s="175"/>
      <c r="AP110" s="175"/>
      <c r="AQ110" s="175"/>
      <c r="AR110" s="175"/>
      <c r="AS110" s="175"/>
      <c r="AT110" s="175"/>
      <c r="AU110" s="175"/>
    </row>
    <row r="111" spans="2:47" ht="12.75" customHeight="1">
      <c r="B111" s="491"/>
      <c r="C111" s="492"/>
      <c r="D111" s="492"/>
      <c r="E111" s="492" t="str">
        <f>Texte!A217</f>
        <v>intensifs         (2-6 utilisations)  </v>
      </c>
      <c r="F111" s="492"/>
      <c r="G111" s="492"/>
      <c r="H111" s="493"/>
      <c r="I111" s="121" t="s">
        <v>261</v>
      </c>
      <c r="J111" s="83"/>
      <c r="K111" s="497">
        <f>IF($J$111="","",(L156-SUM(L98:L110))/J111)</f>
      </c>
      <c r="L111" s="752">
        <f>IF($J$111="",$L$156-SUM($L$98:$L$110),$J$111*$K$111)</f>
        <v>0</v>
      </c>
      <c r="N111" s="353"/>
      <c r="O111" s="704"/>
      <c r="P111" s="705"/>
      <c r="Q111" s="694"/>
      <c r="R111" s="694"/>
      <c r="S111" s="694"/>
      <c r="X111" s="204">
        <v>135</v>
      </c>
      <c r="Y111" s="515">
        <f t="shared" si="7"/>
      </c>
      <c r="Z111" s="473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</row>
    <row r="112" spans="2:47" ht="12.75" customHeight="1">
      <c r="B112" s="354"/>
      <c r="C112" s="354"/>
      <c r="D112" s="354"/>
      <c r="E112" s="354"/>
      <c r="F112" s="548">
        <f>IF(AND(ROUND($L$111,0)&lt;&gt;0,$J$111=""),Texte!A239,"")</f>
      </c>
      <c r="I112" s="327"/>
      <c r="J112" s="593"/>
      <c r="L112" s="355"/>
      <c r="M112" s="355">
        <f>IF(COUNT($Y$103:$Y$111)&gt;0,Texte!$A$223,"")</f>
      </c>
      <c r="N112" s="356"/>
      <c r="O112" s="654"/>
      <c r="P112" s="654"/>
      <c r="Q112" s="631"/>
      <c r="R112" s="631"/>
      <c r="S112" s="631"/>
      <c r="Y112" s="172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</row>
    <row r="113" spans="2:47" ht="12.75" customHeight="1">
      <c r="B113" s="354" t="str">
        <f>Texte!A218</f>
        <v>Surface herbagère</v>
      </c>
      <c r="C113" s="354"/>
      <c r="D113" s="354"/>
      <c r="E113" s="354"/>
      <c r="I113" s="172"/>
      <c r="J113" s="753">
        <f>SUM(J104:J111)</f>
        <v>0</v>
      </c>
      <c r="K113" s="196" t="s">
        <v>1202</v>
      </c>
      <c r="N113" s="321"/>
      <c r="O113" s="458"/>
      <c r="P113" s="554"/>
      <c r="Q113" s="554"/>
      <c r="R113" s="554"/>
      <c r="S113" s="554"/>
      <c r="X113" s="204"/>
      <c r="Y113" s="349" t="s">
        <v>873</v>
      </c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</row>
    <row r="114" spans="2:47" ht="12.75" customHeight="1">
      <c r="B114" s="354" t="str">
        <f>Texte!A219</f>
        <v>Surface en cultures dérobées</v>
      </c>
      <c r="C114" s="354"/>
      <c r="D114" s="354"/>
      <c r="E114" s="354"/>
      <c r="I114" s="172"/>
      <c r="J114" s="753">
        <f>SUM(J100,J103)</f>
        <v>0</v>
      </c>
      <c r="K114" s="196" t="s">
        <v>1202</v>
      </c>
      <c r="O114" s="343"/>
      <c r="P114" s="475"/>
      <c r="Q114" s="475"/>
      <c r="R114" s="475"/>
      <c r="S114" s="475"/>
      <c r="X114" s="349" t="s">
        <v>874</v>
      </c>
      <c r="Y114" s="551">
        <f>SUM(J106,J108,J109)</f>
        <v>0</v>
      </c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</row>
    <row r="115" spans="2:47" ht="12.75" customHeight="1">
      <c r="B115" s="354" t="str">
        <f>Texte!A220</f>
        <v>B1: Production totale de fourrages</v>
      </c>
      <c r="C115" s="354"/>
      <c r="D115" s="354"/>
      <c r="E115" s="354"/>
      <c r="I115" s="172"/>
      <c r="J115" s="358"/>
      <c r="K115" s="196"/>
      <c r="L115" s="754">
        <f>SUM(L98:L111)</f>
        <v>0</v>
      </c>
      <c r="M115" s="166" t="str">
        <f>Texte!A102</f>
        <v>dt MS</v>
      </c>
      <c r="N115" s="198"/>
      <c r="O115" s="357"/>
      <c r="P115" s="357"/>
      <c r="Q115" s="357"/>
      <c r="R115" s="357"/>
      <c r="S115" s="357"/>
      <c r="X115" s="349" t="s">
        <v>875</v>
      </c>
      <c r="Y115" s="551">
        <f>SUM(O105:O111)</f>
        <v>0</v>
      </c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</row>
    <row r="116" spans="2:47" ht="12.75" customHeight="1">
      <c r="B116" s="354" t="str">
        <f>Texte!A221</f>
        <v>B2: Production de fourrages issus des prairies et pâturages</v>
      </c>
      <c r="C116" s="354"/>
      <c r="D116" s="354"/>
      <c r="E116" s="354"/>
      <c r="I116" s="172"/>
      <c r="J116" s="358"/>
      <c r="K116" s="196"/>
      <c r="L116" s="754">
        <f>SUM(L103:L111)</f>
        <v>0</v>
      </c>
      <c r="M116" s="166" t="str">
        <f>Texte!A102</f>
        <v>dt MS</v>
      </c>
      <c r="N116" s="198"/>
      <c r="O116" s="198"/>
      <c r="P116" s="198"/>
      <c r="Q116" s="198"/>
      <c r="R116" s="198"/>
      <c r="S116" s="198"/>
      <c r="X116" s="349" t="s">
        <v>876</v>
      </c>
      <c r="Y116" s="551">
        <f>SUM(P105:P111)</f>
        <v>0</v>
      </c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</row>
    <row r="117" spans="2:47" ht="12.75" customHeight="1">
      <c r="B117" s="354" t="str">
        <f>Texte!A222</f>
        <v>B3: Production d'autres fourrages</v>
      </c>
      <c r="C117" s="354"/>
      <c r="D117" s="354"/>
      <c r="E117" s="354"/>
      <c r="I117" s="172"/>
      <c r="J117" s="358"/>
      <c r="K117" s="196"/>
      <c r="L117" s="754">
        <f>SUM(L98:L102)</f>
        <v>0</v>
      </c>
      <c r="M117" s="166" t="str">
        <f>Texte!A102</f>
        <v>dt MS</v>
      </c>
      <c r="N117" s="198"/>
      <c r="O117" s="198"/>
      <c r="P117" s="198"/>
      <c r="Q117" s="198"/>
      <c r="R117" s="198"/>
      <c r="S117" s="198"/>
      <c r="X117" s="349" t="s">
        <v>877</v>
      </c>
      <c r="Y117" s="551">
        <f>IF(Y116&gt;Y114,"ja","")</f>
      </c>
      <c r="Z117" s="196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</row>
    <row r="118" spans="2:47" ht="11.25" customHeight="1">
      <c r="B118" s="354"/>
      <c r="C118" s="354"/>
      <c r="D118" s="354"/>
      <c r="E118" s="354"/>
      <c r="I118" s="172"/>
      <c r="J118" s="358"/>
      <c r="N118" s="198"/>
      <c r="O118" s="198"/>
      <c r="P118" s="198"/>
      <c r="Q118" s="198"/>
      <c r="R118" s="198"/>
      <c r="S118" s="198"/>
      <c r="X118" s="349" t="s">
        <v>878</v>
      </c>
      <c r="Y118" s="551">
        <f>IF(O112&lt;&gt;J113,"ja","")</f>
      </c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</row>
    <row r="119" spans="2:47" ht="15.75" customHeight="1">
      <c r="B119" s="360" t="str">
        <f>Texte!A245</f>
        <v>Partie C: Achats / Ventes de fourrages</v>
      </c>
      <c r="C119" s="242"/>
      <c r="D119" s="242"/>
      <c r="E119" s="242"/>
      <c r="F119" s="172"/>
      <c r="G119" s="172"/>
      <c r="H119" s="310"/>
      <c r="I119" s="311"/>
      <c r="J119" s="311"/>
      <c r="K119" s="315"/>
      <c r="L119" s="315"/>
      <c r="M119" s="310"/>
      <c r="N119" s="310"/>
      <c r="O119" s="360" t="str">
        <f>Texte!A291</f>
        <v>Vache mère &amp; veau</v>
      </c>
      <c r="P119" s="310"/>
      <c r="Q119" s="310"/>
      <c r="R119" s="310"/>
      <c r="S119" s="310"/>
      <c r="T119" s="310"/>
      <c r="U119" s="155"/>
      <c r="V119" s="155"/>
      <c r="W119" s="155"/>
      <c r="X119" s="349" t="s">
        <v>879</v>
      </c>
      <c r="Y119" s="551">
        <f>IF(AND(Y116=0,Y114&lt;&gt;0),"ja","")</f>
      </c>
      <c r="Z119" s="155"/>
      <c r="AA119" s="155"/>
      <c r="AB119" s="155"/>
      <c r="AC119" s="15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</row>
    <row r="120" spans="2:47" ht="7.5" customHeight="1">
      <c r="B120" s="360"/>
      <c r="C120" s="242"/>
      <c r="D120" s="242"/>
      <c r="E120" s="242"/>
      <c r="F120" s="172"/>
      <c r="G120" s="172"/>
      <c r="H120" s="310"/>
      <c r="I120" s="311"/>
      <c r="J120" s="311"/>
      <c r="K120" s="315"/>
      <c r="L120" s="315"/>
      <c r="M120" s="310"/>
      <c r="N120" s="310"/>
      <c r="O120" s="310"/>
      <c r="P120" s="310"/>
      <c r="Q120" s="310"/>
      <c r="R120" s="310"/>
      <c r="S120" s="310"/>
      <c r="T120" s="310"/>
      <c r="U120" s="361"/>
      <c r="V120" s="361"/>
      <c r="W120" s="361"/>
      <c r="X120" s="361"/>
      <c r="Y120" s="310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</row>
    <row r="121" spans="2:47" ht="12.75" customHeight="1">
      <c r="B121" s="362" t="str">
        <f>Texte!A246</f>
        <v>Consommation de fourrages (selon total ci-dessus) </v>
      </c>
      <c r="C121" s="363"/>
      <c r="D121" s="363"/>
      <c r="E121" s="363"/>
      <c r="F121" s="364"/>
      <c r="G121" s="364"/>
      <c r="H121" s="365"/>
      <c r="I121" s="366"/>
      <c r="J121" s="366"/>
      <c r="K121" s="367"/>
      <c r="L121" s="359">
        <f>L83</f>
        <v>0</v>
      </c>
      <c r="M121" s="310" t="str">
        <f>Texte!A102</f>
        <v>dt MS</v>
      </c>
      <c r="N121" s="310"/>
      <c r="O121" s="722" t="str">
        <f>Texte!A292</f>
        <v>Fourragé aux</v>
      </c>
      <c r="P121" s="723"/>
      <c r="Q121" s="310"/>
      <c r="R121" s="310"/>
      <c r="S121" s="310"/>
      <c r="T121" s="310"/>
      <c r="U121" s="361"/>
      <c r="V121" s="361"/>
      <c r="W121" s="361"/>
      <c r="X121" s="361"/>
      <c r="AK121" s="175"/>
      <c r="AL121" s="175"/>
      <c r="AM121" s="175"/>
      <c r="AN121" s="175"/>
      <c r="AO121" s="175"/>
      <c r="AP121" s="175"/>
      <c r="AQ121" s="175"/>
      <c r="AR121" s="175"/>
      <c r="AS121" s="175"/>
      <c r="AT121" s="175"/>
      <c r="AU121" s="175"/>
    </row>
    <row r="122" spans="2:47" ht="12.75" customHeight="1">
      <c r="B122" s="368" t="str">
        <f>Texte!A247</f>
        <v>Fourrages vendus, achetés ou produits sur l'exploitation hors surface fourragère     </v>
      </c>
      <c r="C122" s="369"/>
      <c r="D122" s="369"/>
      <c r="E122" s="369"/>
      <c r="F122" s="327"/>
      <c r="G122" s="327"/>
      <c r="H122" s="370"/>
      <c r="I122" s="371"/>
      <c r="J122" s="371"/>
      <c r="K122" s="372"/>
      <c r="L122" s="373"/>
      <c r="M122" s="310"/>
      <c r="N122" s="310"/>
      <c r="O122" s="725" t="str">
        <f>Texte!A293</f>
        <v>vaches &amp; veaux</v>
      </c>
      <c r="P122" s="726"/>
      <c r="Q122" s="310"/>
      <c r="R122" s="310"/>
      <c r="S122" s="310"/>
      <c r="T122" s="310"/>
      <c r="U122" s="361"/>
      <c r="V122" s="543" t="s">
        <v>862</v>
      </c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</row>
    <row r="123" spans="2:47" ht="12.75" customHeight="1">
      <c r="B123" s="368" t="str">
        <f>Texte!A248</f>
        <v>Type de fourrage </v>
      </c>
      <c r="C123" s="369"/>
      <c r="D123" s="369"/>
      <c r="E123" s="369"/>
      <c r="F123" s="374" t="str">
        <f>Texte!A249</f>
        <v>Quantité</v>
      </c>
      <c r="G123" s="374" t="str">
        <f>Texte!A251</f>
        <v>  %</v>
      </c>
      <c r="H123" s="375" t="str">
        <f>Texte!A253</f>
        <v>Code</v>
      </c>
      <c r="I123" s="376" t="str">
        <f>Texte!A254</f>
        <v>Ventes</v>
      </c>
      <c r="J123" s="376" t="str">
        <f>Texte!A258</f>
        <v>Achats</v>
      </c>
      <c r="K123" s="377" t="str">
        <f>Texte!A259</f>
        <v>hors SF</v>
      </c>
      <c r="L123" s="378"/>
      <c r="M123" s="310" t="str">
        <f>Texte!A253</f>
        <v>Code</v>
      </c>
      <c r="N123" s="310"/>
      <c r="O123" s="727" t="str">
        <f>Texte!A294</f>
        <v>quantité</v>
      </c>
      <c r="P123" s="728"/>
      <c r="Q123" s="310"/>
      <c r="R123" s="310"/>
      <c r="S123" s="310"/>
      <c r="T123" s="310"/>
      <c r="U123" s="361"/>
      <c r="AK123" s="175"/>
      <c r="AL123" s="175"/>
      <c r="AM123" s="175"/>
      <c r="AN123" s="175"/>
      <c r="AO123" s="175"/>
      <c r="AP123" s="175"/>
      <c r="AQ123" s="175"/>
      <c r="AR123" s="175"/>
      <c r="AS123" s="175"/>
      <c r="AT123" s="175"/>
      <c r="AU123" s="175"/>
    </row>
    <row r="124" spans="2:47" ht="12.75" customHeight="1">
      <c r="B124" s="379"/>
      <c r="C124" s="242"/>
      <c r="D124" s="242"/>
      <c r="E124" s="242"/>
      <c r="F124" s="380" t="str">
        <f>Texte!A250</f>
        <v>dt</v>
      </c>
      <c r="G124" s="380" t="str">
        <f>Texte!A252</f>
        <v>  MS</v>
      </c>
      <c r="H124" s="381" t="s">
        <v>320</v>
      </c>
      <c r="I124" s="382" t="str">
        <f>Texte!A255</f>
        <v>dt MS</v>
      </c>
      <c r="J124" s="382" t="str">
        <f>Texte!A255</f>
        <v>dt MS</v>
      </c>
      <c r="K124" s="382" t="str">
        <f>Texte!A255</f>
        <v>dt MS</v>
      </c>
      <c r="L124" s="378"/>
      <c r="M124" s="310" t="str">
        <f>Texte!A200</f>
        <v>  1 = vente</v>
      </c>
      <c r="N124" s="310"/>
      <c r="O124" s="714" t="str">
        <f>Texte!A295</f>
        <v>dt MS</v>
      </c>
      <c r="P124" s="250"/>
      <c r="Q124" s="310"/>
      <c r="R124" s="310"/>
      <c r="S124" s="310"/>
      <c r="V124" s="383">
        <v>1</v>
      </c>
      <c r="AK124" s="175"/>
      <c r="AL124" s="175"/>
      <c r="AM124" s="175"/>
      <c r="AN124" s="175"/>
      <c r="AO124" s="175"/>
      <c r="AP124" s="175"/>
      <c r="AQ124" s="175"/>
      <c r="AR124" s="175"/>
      <c r="AS124" s="175"/>
      <c r="AT124" s="175"/>
      <c r="AU124" s="175"/>
    </row>
    <row r="125" spans="2:47" ht="12.75" customHeight="1">
      <c r="B125" s="384" t="str">
        <f>Texte!A261</f>
        <v>Herbe</v>
      </c>
      <c r="C125" s="385"/>
      <c r="D125" s="385"/>
      <c r="E125" s="385"/>
      <c r="F125" s="97"/>
      <c r="G125" s="3"/>
      <c r="H125" s="57"/>
      <c r="I125" s="755">
        <f aca="true" t="shared" si="8" ref="I125:I135">IF(H125=1,F125*G125/100,"")</f>
      </c>
      <c r="J125" s="755">
        <f aca="true" t="shared" si="9" ref="J125:J145">IF(H125=2,F125*G125/100,"")</f>
      </c>
      <c r="K125" s="386"/>
      <c r="L125" s="378"/>
      <c r="M125" s="310" t="str">
        <f>Texte!A201</f>
        <v>  2 = achat</v>
      </c>
      <c r="N125" s="310"/>
      <c r="O125" s="700"/>
      <c r="P125" s="701"/>
      <c r="Q125" s="310"/>
      <c r="R125" s="310"/>
      <c r="S125" s="310"/>
      <c r="V125" s="383">
        <v>2</v>
      </c>
      <c r="AK125" s="175"/>
      <c r="AL125" s="175"/>
      <c r="AM125" s="175"/>
      <c r="AN125" s="175"/>
      <c r="AO125" s="175"/>
      <c r="AP125" s="175"/>
      <c r="AQ125" s="175"/>
      <c r="AR125" s="175"/>
      <c r="AS125" s="175"/>
      <c r="AT125" s="175"/>
      <c r="AU125" s="175"/>
    </row>
    <row r="126" spans="2:47" ht="12.75" customHeight="1">
      <c r="B126" s="387" t="str">
        <f>Texte!A262</f>
        <v>Ensilage d'herbe</v>
      </c>
      <c r="C126" s="279"/>
      <c r="D126" s="279"/>
      <c r="E126" s="279"/>
      <c r="F126" s="98"/>
      <c r="G126" s="55"/>
      <c r="H126" s="57"/>
      <c r="I126" s="745">
        <f t="shared" si="8"/>
      </c>
      <c r="J126" s="745">
        <f t="shared" si="9"/>
      </c>
      <c r="K126" s="388"/>
      <c r="L126" s="378"/>
      <c r="M126" s="310" t="str">
        <f>Texte!A202</f>
        <v>  3 = hors SF</v>
      </c>
      <c r="O126" s="702"/>
      <c r="P126" s="703"/>
      <c r="V126" s="389">
        <v>3</v>
      </c>
      <c r="AK126" s="175"/>
      <c r="AL126" s="175"/>
      <c r="AM126" s="175"/>
      <c r="AN126" s="175"/>
      <c r="AO126" s="175"/>
      <c r="AP126" s="175"/>
      <c r="AQ126" s="175"/>
      <c r="AR126" s="175"/>
      <c r="AS126" s="175"/>
      <c r="AT126" s="175"/>
      <c r="AU126" s="175"/>
    </row>
    <row r="127" spans="2:47" ht="12.75" customHeight="1">
      <c r="B127" s="387" t="str">
        <f>Texte!A263</f>
        <v>Herbe déshydratée (cubes)</v>
      </c>
      <c r="C127" s="279"/>
      <c r="D127" s="279"/>
      <c r="E127" s="279"/>
      <c r="F127" s="98"/>
      <c r="G127" s="55"/>
      <c r="H127" s="57"/>
      <c r="I127" s="745">
        <f t="shared" si="8"/>
      </c>
      <c r="J127" s="745">
        <f t="shared" si="9"/>
      </c>
      <c r="K127" s="388"/>
      <c r="L127" s="378"/>
      <c r="M127" s="310"/>
      <c r="N127" s="310"/>
      <c r="O127" s="702"/>
      <c r="P127" s="703"/>
      <c r="Q127" s="310"/>
      <c r="R127" s="310"/>
      <c r="S127" s="310"/>
      <c r="T127" s="390"/>
      <c r="U127" s="310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</row>
    <row r="128" spans="2:47" ht="12.75" customHeight="1">
      <c r="B128" s="391" t="str">
        <f>Texte!A264</f>
        <v>Foin, regain </v>
      </c>
      <c r="C128" s="392"/>
      <c r="D128" s="392"/>
      <c r="E128" s="392"/>
      <c r="F128" s="99"/>
      <c r="G128" s="4"/>
      <c r="H128" s="57"/>
      <c r="I128" s="745">
        <f t="shared" si="8"/>
      </c>
      <c r="J128" s="745">
        <f t="shared" si="9"/>
      </c>
      <c r="K128" s="388"/>
      <c r="L128" s="378"/>
      <c r="O128" s="702"/>
      <c r="P128" s="703"/>
      <c r="U128" s="310"/>
      <c r="AK128" s="175"/>
      <c r="AL128" s="175"/>
      <c r="AM128" s="175"/>
      <c r="AN128" s="175"/>
      <c r="AO128" s="175"/>
      <c r="AP128" s="175"/>
      <c r="AQ128" s="175"/>
      <c r="AR128" s="175"/>
      <c r="AS128" s="175"/>
      <c r="AT128" s="175"/>
      <c r="AU128" s="175"/>
    </row>
    <row r="129" spans="2:47" ht="12.75" customHeight="1">
      <c r="B129" s="393" t="str">
        <f>Texte!A265</f>
        <v>Foin, regain, "pauvre" </v>
      </c>
      <c r="C129" s="394"/>
      <c r="D129" s="394"/>
      <c r="E129" s="394"/>
      <c r="F129" s="100"/>
      <c r="G129" s="60"/>
      <c r="H129" s="57"/>
      <c r="I129" s="744">
        <f t="shared" si="8"/>
      </c>
      <c r="J129" s="744">
        <f t="shared" si="9"/>
      </c>
      <c r="K129" s="388"/>
      <c r="L129" s="378"/>
      <c r="M129" s="310"/>
      <c r="N129" s="310"/>
      <c r="O129" s="702"/>
      <c r="P129" s="703"/>
      <c r="Q129" s="310"/>
      <c r="R129" s="310"/>
      <c r="S129" s="310"/>
      <c r="T129" s="310"/>
      <c r="U129" s="310"/>
      <c r="V129" s="204" t="s">
        <v>1142</v>
      </c>
      <c r="AK129" s="175"/>
      <c r="AL129" s="175"/>
      <c r="AM129" s="175"/>
      <c r="AN129" s="175"/>
      <c r="AO129" s="175"/>
      <c r="AP129" s="175"/>
      <c r="AQ129" s="175"/>
      <c r="AR129" s="175"/>
      <c r="AS129" s="175"/>
      <c r="AT129" s="175"/>
      <c r="AU129" s="175"/>
    </row>
    <row r="130" spans="2:47" ht="12.75" customHeight="1">
      <c r="B130" s="395" t="str">
        <f>Texte!A266</f>
        <v>Ensilage de céréales plantes entières</v>
      </c>
      <c r="C130" s="364"/>
      <c r="D130" s="364"/>
      <c r="E130" s="364"/>
      <c r="F130" s="101"/>
      <c r="G130" s="62"/>
      <c r="H130" s="61"/>
      <c r="I130" s="396"/>
      <c r="J130" s="756">
        <f t="shared" si="9"/>
      </c>
      <c r="K130" s="758">
        <f>IF(H130=3,F130*G130/100,"")</f>
      </c>
      <c r="L130" s="378"/>
      <c r="M130" s="310"/>
      <c r="N130" s="310"/>
      <c r="O130" s="715"/>
      <c r="P130" s="716"/>
      <c r="Q130" s="724">
        <f>IF(AND($H130=1,$O130&gt;0),Texte!$A$296,IF(AND($H130=2,$O130&gt;$J130),Texte!$A$296,IF(AND($H130=3,$O130&gt;$K130),Texte!$A$296,"")))</f>
      </c>
      <c r="R130" s="310"/>
      <c r="S130" s="310"/>
      <c r="T130" s="310"/>
      <c r="U130" s="310"/>
      <c r="V130" s="204" t="b">
        <f>IF(AND(ISBLANK(O130),OR(J130,K130)&lt;&gt;0),1)</f>
        <v>0</v>
      </c>
      <c r="AK130" s="175"/>
      <c r="AL130" s="175"/>
      <c r="AM130" s="175"/>
      <c r="AN130" s="175"/>
      <c r="AO130" s="175"/>
      <c r="AP130" s="175"/>
      <c r="AQ130" s="175"/>
      <c r="AR130" s="175"/>
      <c r="AS130" s="175"/>
      <c r="AT130" s="175"/>
      <c r="AU130" s="175"/>
    </row>
    <row r="131" spans="2:47" ht="12.75" customHeight="1">
      <c r="B131" s="397" t="str">
        <f>Texte!A267</f>
        <v>Maïs ensilage</v>
      </c>
      <c r="C131" s="398"/>
      <c r="D131" s="398"/>
      <c r="E131" s="398"/>
      <c r="F131" s="99"/>
      <c r="G131" s="4"/>
      <c r="H131" s="57"/>
      <c r="I131" s="745">
        <f t="shared" si="8"/>
      </c>
      <c r="J131" s="745">
        <f t="shared" si="9"/>
      </c>
      <c r="K131" s="399"/>
      <c r="L131" s="378"/>
      <c r="O131" s="717"/>
      <c r="P131" s="718"/>
      <c r="Q131" s="724">
        <f>IF(AND($H131=1,$O131&gt;0),Texte!$A$296,IF(AND($H131=2,$O131&gt;$J131),Texte!$A$296,IF(AND($H131=3,$O131&gt;$K131),Texte!$A$296,"")))</f>
      </c>
      <c r="V131" s="204" t="b">
        <f aca="true" t="shared" si="10" ref="V131:V145">IF(AND(ISBLANK(O131),OR(J131,K131)&lt;&gt;0),1)</f>
        <v>0</v>
      </c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</row>
    <row r="132" spans="2:47" ht="12.75" customHeight="1">
      <c r="B132" s="391" t="str">
        <f>Texte!A268</f>
        <v>Maïs fauché en vert</v>
      </c>
      <c r="C132" s="400"/>
      <c r="D132" s="400"/>
      <c r="E132" s="400"/>
      <c r="F132" s="99"/>
      <c r="G132" s="4"/>
      <c r="H132" s="57"/>
      <c r="I132" s="745">
        <f t="shared" si="8"/>
      </c>
      <c r="J132" s="745">
        <f t="shared" si="9"/>
      </c>
      <c r="K132" s="388"/>
      <c r="L132" s="378"/>
      <c r="O132" s="717"/>
      <c r="P132" s="718"/>
      <c r="Q132" s="724">
        <f>IF(AND($H132=1,$O132&gt;0),Texte!$A$296,IF(AND($H132=2,$O132&gt;$J132),Texte!$A$296,IF(AND($H132=3,$O132&gt;$K132),Texte!$A$296,"")))</f>
      </c>
      <c r="V132" s="204" t="b">
        <f t="shared" si="10"/>
        <v>0</v>
      </c>
      <c r="AK132" s="175"/>
      <c r="AL132" s="175"/>
      <c r="AM132" s="175"/>
      <c r="AN132" s="175"/>
      <c r="AO132" s="175"/>
      <c r="AP132" s="175"/>
      <c r="AQ132" s="175"/>
      <c r="AR132" s="175"/>
      <c r="AS132" s="175"/>
      <c r="AT132" s="175"/>
      <c r="AU132" s="175"/>
    </row>
    <row r="133" spans="2:47" ht="12.75" customHeight="1">
      <c r="B133" s="391" t="str">
        <f>Texte!A269</f>
        <v>Maïs plante entière déshydraté (cubes)</v>
      </c>
      <c r="C133" s="400"/>
      <c r="D133" s="400"/>
      <c r="E133" s="400"/>
      <c r="F133" s="99"/>
      <c r="G133" s="4"/>
      <c r="H133" s="57"/>
      <c r="I133" s="745">
        <f t="shared" si="8"/>
      </c>
      <c r="J133" s="745">
        <f t="shared" si="9"/>
      </c>
      <c r="K133" s="388"/>
      <c r="L133" s="378"/>
      <c r="O133" s="717"/>
      <c r="P133" s="718"/>
      <c r="Q133" s="724">
        <f>IF(AND($H133=1,$O133&gt;0),Texte!$A$296,IF(AND($H133=2,$O133&gt;$J133),Texte!$A$296,IF(AND($H133=3,$O133&gt;$K133),Texte!$A$296,"")))</f>
      </c>
      <c r="V133" s="204" t="b">
        <f t="shared" si="10"/>
        <v>0</v>
      </c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</row>
    <row r="134" spans="2:47" ht="12.75" customHeight="1">
      <c r="B134" s="391" t="str">
        <f>Texte!A270</f>
        <v>Maïs épi CCM (pour bovins engrais)</v>
      </c>
      <c r="C134" s="400"/>
      <c r="D134" s="400"/>
      <c r="E134" s="400"/>
      <c r="F134" s="99"/>
      <c r="G134" s="4"/>
      <c r="H134" s="57"/>
      <c r="I134" s="403">
        <f t="shared" si="8"/>
      </c>
      <c r="J134" s="745">
        <f t="shared" si="9"/>
      </c>
      <c r="K134" s="745">
        <f>IF(H134=3,F134*G134/100,"")</f>
      </c>
      <c r="L134" s="378"/>
      <c r="O134" s="717"/>
      <c r="P134" s="718"/>
      <c r="Q134" s="724">
        <f>IF(AND($H134=1,$O134&gt;0),Texte!$A$296,IF(AND($H134=2,$O134&gt;$J134),Texte!$A$296,IF(AND($H134=3,$O134&gt;$K134),Texte!$A$296,"")))</f>
      </c>
      <c r="V134" s="204" t="b">
        <f t="shared" si="10"/>
        <v>0</v>
      </c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</row>
    <row r="135" spans="2:47" ht="12.75" customHeight="1">
      <c r="B135" s="391" t="str">
        <f>Texte!A271</f>
        <v>Betterave fourragère </v>
      </c>
      <c r="C135" s="400"/>
      <c r="D135" s="400"/>
      <c r="E135" s="400"/>
      <c r="F135" s="99"/>
      <c r="G135" s="4"/>
      <c r="H135" s="57"/>
      <c r="I135" s="745">
        <f t="shared" si="8"/>
      </c>
      <c r="J135" s="745">
        <f t="shared" si="9"/>
      </c>
      <c r="K135" s="401"/>
      <c r="L135" s="378"/>
      <c r="O135" s="717"/>
      <c r="P135" s="718"/>
      <c r="Q135" s="724">
        <f>IF(AND($H135=1,$O135&gt;0),Texte!$A$296,IF(AND($H135=2,$O135&gt;$J135),Texte!$A$296,IF(AND($H135=3,$O135&gt;$K135),Texte!$A$296,"")))</f>
      </c>
      <c r="V135" s="204" t="b">
        <f t="shared" si="10"/>
        <v>0</v>
      </c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</row>
    <row r="136" spans="2:47" ht="12.75" customHeight="1">
      <c r="B136" s="391" t="str">
        <f>Texte!A272</f>
        <v>Betterave sucrière </v>
      </c>
      <c r="C136" s="400"/>
      <c r="D136" s="400"/>
      <c r="E136" s="400"/>
      <c r="F136" s="99"/>
      <c r="G136" s="4"/>
      <c r="H136" s="57"/>
      <c r="I136" s="402"/>
      <c r="J136" s="757">
        <f t="shared" si="9"/>
      </c>
      <c r="K136" s="745">
        <f>IF(H136=3,F136*G136/100,"")</f>
      </c>
      <c r="L136" s="378"/>
      <c r="O136" s="717"/>
      <c r="P136" s="718"/>
      <c r="Q136" s="724">
        <f>IF(AND($H136=1,$O136&gt;0),Texte!$A$296,IF(AND($H136=2,$O136&gt;$J136),Texte!$A$296,IF(AND($H136=3,$O136&gt;$K136),Texte!$A$296,"")))</f>
      </c>
      <c r="V136" s="204" t="b">
        <f t="shared" si="10"/>
        <v>0</v>
      </c>
      <c r="AK136" s="175"/>
      <c r="AL136" s="175"/>
      <c r="AM136" s="175"/>
      <c r="AN136" s="175"/>
      <c r="AO136" s="175"/>
      <c r="AP136" s="175"/>
      <c r="AQ136" s="175"/>
      <c r="AR136" s="175"/>
      <c r="AS136" s="175"/>
      <c r="AT136" s="175"/>
      <c r="AU136" s="175"/>
    </row>
    <row r="137" spans="2:47" ht="12.75" customHeight="1">
      <c r="B137" s="391" t="str">
        <f>Texte!A273</f>
        <v>Pulpe de betterave, fraîche</v>
      </c>
      <c r="C137" s="400"/>
      <c r="D137" s="400"/>
      <c r="E137" s="400"/>
      <c r="F137" s="99"/>
      <c r="G137" s="4"/>
      <c r="H137" s="56">
        <v>2</v>
      </c>
      <c r="I137" s="403"/>
      <c r="J137" s="745">
        <f t="shared" si="9"/>
        <v>0</v>
      </c>
      <c r="K137" s="402"/>
      <c r="L137" s="378"/>
      <c r="O137" s="717"/>
      <c r="P137" s="718"/>
      <c r="Q137" s="724">
        <f>IF(AND($H137=1,$O137&gt;0),Texte!$A$296,IF(AND($H137=2,$O137&gt;$J137),Texte!$A$296,IF(AND($H137=3,$O137&gt;$K137),Texte!$A$296,"")))</f>
      </c>
      <c r="V137" s="204" t="b">
        <f t="shared" si="10"/>
        <v>0</v>
      </c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</row>
    <row r="138" spans="2:47" ht="12.75" customHeight="1">
      <c r="B138" s="391" t="str">
        <f>Texte!A274</f>
        <v>Pulpe de betterave, ensilée</v>
      </c>
      <c r="C138" s="400"/>
      <c r="D138" s="400"/>
      <c r="E138" s="400"/>
      <c r="F138" s="99"/>
      <c r="G138" s="4"/>
      <c r="H138" s="56">
        <v>2</v>
      </c>
      <c r="I138" s="403"/>
      <c r="J138" s="745">
        <f t="shared" si="9"/>
        <v>0</v>
      </c>
      <c r="K138" s="403"/>
      <c r="L138" s="378"/>
      <c r="O138" s="717"/>
      <c r="P138" s="718"/>
      <c r="Q138" s="724">
        <f>IF(AND($H138=1,$O138&gt;0),Texte!$A$296,IF(AND($H138=2,$O138&gt;$J138),Texte!$A$296,IF(AND($H138=3,$O138&gt;$K138),Texte!$A$296,"")))</f>
      </c>
      <c r="V138" s="204" t="b">
        <f t="shared" si="10"/>
        <v>0</v>
      </c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</row>
    <row r="139" spans="2:47" ht="12.75" customHeight="1">
      <c r="B139" s="391" t="str">
        <f>Texte!A275</f>
        <v>Pulpe de betterave, séchée</v>
      </c>
      <c r="C139" s="400"/>
      <c r="D139" s="400"/>
      <c r="E139" s="400"/>
      <c r="F139" s="99"/>
      <c r="G139" s="4"/>
      <c r="H139" s="56">
        <v>2</v>
      </c>
      <c r="I139" s="403"/>
      <c r="J139" s="745">
        <f t="shared" si="9"/>
        <v>0</v>
      </c>
      <c r="K139" s="403"/>
      <c r="L139" s="378"/>
      <c r="O139" s="717"/>
      <c r="P139" s="718"/>
      <c r="Q139" s="724">
        <f>IF(AND($H139=1,$O139&gt;0),Texte!$A$296,IF(AND($H139=2,$O139&gt;$J139),Texte!$A$296,IF(AND($H139=3,$O139&gt;$K139),Texte!$A$296,"")))</f>
      </c>
      <c r="V139" s="204" t="b">
        <f t="shared" si="10"/>
        <v>0</v>
      </c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</row>
    <row r="140" spans="2:47" ht="12.75" customHeight="1">
      <c r="B140" s="391" t="str">
        <f>Texte!A276</f>
        <v>Feuilles de betteraves </v>
      </c>
      <c r="C140" s="400"/>
      <c r="D140" s="400"/>
      <c r="E140" s="400"/>
      <c r="F140" s="99"/>
      <c r="G140" s="4"/>
      <c r="H140" s="56">
        <v>2</v>
      </c>
      <c r="I140" s="403"/>
      <c r="J140" s="745">
        <f t="shared" si="9"/>
        <v>0</v>
      </c>
      <c r="K140" s="404"/>
      <c r="L140" s="378"/>
      <c r="O140" s="717"/>
      <c r="P140" s="718"/>
      <c r="Q140" s="724">
        <f>IF(AND($H140=1,$O140&gt;0),Texte!$A$296,IF(AND($H140=2,$O140&gt;$J140),Texte!$A$296,IF(AND($H140=3,$O140&gt;$K140),Texte!$A$296,"")))</f>
      </c>
      <c r="V140" s="204" t="b">
        <f t="shared" si="10"/>
        <v>0</v>
      </c>
      <c r="AK140" s="175"/>
      <c r="AL140" s="175"/>
      <c r="AM140" s="175"/>
      <c r="AN140" s="175"/>
      <c r="AO140" s="175"/>
      <c r="AP140" s="175"/>
      <c r="AQ140" s="175"/>
      <c r="AR140" s="175"/>
      <c r="AS140" s="175"/>
      <c r="AT140" s="175"/>
      <c r="AU140" s="175"/>
    </row>
    <row r="141" spans="2:47" ht="12.75" customHeight="1">
      <c r="B141" s="391" t="str">
        <f>Texte!A277</f>
        <v>Pommes de terre </v>
      </c>
      <c r="C141" s="400"/>
      <c r="D141" s="400"/>
      <c r="E141" s="400"/>
      <c r="F141" s="99"/>
      <c r="G141" s="4"/>
      <c r="H141" s="57"/>
      <c r="I141" s="403"/>
      <c r="J141" s="745">
        <f t="shared" si="9"/>
      </c>
      <c r="K141" s="745">
        <f>IF(H141=3,F141*G141/100,"")</f>
      </c>
      <c r="L141" s="378"/>
      <c r="O141" s="717"/>
      <c r="P141" s="718"/>
      <c r="Q141" s="724">
        <f>IF(AND($H141=1,$O141&gt;0),Texte!$A$296,IF(AND($H141=2,$O141&gt;$J141),Texte!$A$296,IF(AND($H141=3,$O141&gt;$K141),Texte!$A$296,"")))</f>
      </c>
      <c r="V141" s="204" t="b">
        <f t="shared" si="10"/>
        <v>0</v>
      </c>
      <c r="AK141" s="175"/>
      <c r="AL141" s="175"/>
      <c r="AM141" s="175"/>
      <c r="AN141" s="175"/>
      <c r="AO141" s="175"/>
      <c r="AP141" s="175"/>
      <c r="AQ141" s="175"/>
      <c r="AR141" s="175"/>
      <c r="AS141" s="175"/>
      <c r="AT141" s="175"/>
      <c r="AU141" s="175"/>
    </row>
    <row r="142" spans="2:47" ht="12.75" customHeight="1">
      <c r="B142" s="391" t="str">
        <f>Texte!A278</f>
        <v>Racines d'endives</v>
      </c>
      <c r="C142" s="400"/>
      <c r="D142" s="400"/>
      <c r="E142" s="400"/>
      <c r="F142" s="99"/>
      <c r="G142" s="4"/>
      <c r="H142" s="56">
        <v>2</v>
      </c>
      <c r="I142" s="403"/>
      <c r="J142" s="745">
        <f t="shared" si="9"/>
        <v>0</v>
      </c>
      <c r="K142" s="402"/>
      <c r="L142" s="378"/>
      <c r="O142" s="717"/>
      <c r="P142" s="718"/>
      <c r="Q142" s="724">
        <f>IF(AND($H142=1,$O142&gt;0),Texte!$A$296,IF(AND($H142=2,$O142&gt;$J142),Texte!$A$296,IF(AND($H142=3,$O142&gt;$K142),Texte!$A$296,"")))</f>
      </c>
      <c r="V142" s="204" t="b">
        <f t="shared" si="10"/>
        <v>0</v>
      </c>
      <c r="AK142" s="175"/>
      <c r="AL142" s="175"/>
      <c r="AM142" s="175"/>
      <c r="AN142" s="175"/>
      <c r="AO142" s="175"/>
      <c r="AP142" s="175"/>
      <c r="AQ142" s="175"/>
      <c r="AR142" s="175"/>
      <c r="AS142" s="175"/>
      <c r="AT142" s="175"/>
      <c r="AU142" s="175"/>
    </row>
    <row r="143" spans="2:47" ht="12.75" customHeight="1">
      <c r="B143" s="391" t="str">
        <f>Texte!A279</f>
        <v>Résidus transformation fruits/légumes</v>
      </c>
      <c r="C143" s="400"/>
      <c r="D143" s="400"/>
      <c r="E143" s="400"/>
      <c r="F143" s="99"/>
      <c r="G143" s="4"/>
      <c r="H143" s="56">
        <v>2</v>
      </c>
      <c r="I143" s="403"/>
      <c r="J143" s="745">
        <f t="shared" si="9"/>
        <v>0</v>
      </c>
      <c r="K143" s="403"/>
      <c r="L143" s="378"/>
      <c r="O143" s="717"/>
      <c r="P143" s="718"/>
      <c r="Q143" s="724">
        <f>IF(AND($H143=1,$O143&gt;0),Texte!$A$296,IF(AND($H143=2,$O143&gt;$J143),Texte!$A$296,IF(AND($H143=3,$O143&gt;$K143),Texte!$A$296,"")))</f>
      </c>
      <c r="V143" s="204" t="b">
        <f t="shared" si="10"/>
        <v>0</v>
      </c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</row>
    <row r="144" spans="2:47" ht="12.75" customHeight="1">
      <c r="B144" s="391" t="str">
        <f>Texte!A280</f>
        <v>Drêches de brasserie</v>
      </c>
      <c r="C144" s="400"/>
      <c r="D144" s="400"/>
      <c r="E144" s="400"/>
      <c r="F144" s="99"/>
      <c r="G144" s="4"/>
      <c r="H144" s="56">
        <v>2</v>
      </c>
      <c r="I144" s="403"/>
      <c r="J144" s="745">
        <f t="shared" si="9"/>
        <v>0</v>
      </c>
      <c r="K144" s="403"/>
      <c r="L144" s="378"/>
      <c r="O144" s="717"/>
      <c r="P144" s="718"/>
      <c r="Q144" s="724">
        <f>IF(AND($H144=1,$O144&gt;0),Texte!$A$296,IF(AND($H144=2,$O144&gt;$J144),Texte!$A$296,IF(AND($H144=3,$O144&gt;$K144),Texte!$A$296,"")))</f>
      </c>
      <c r="V144" s="204" t="b">
        <f t="shared" si="10"/>
        <v>0</v>
      </c>
      <c r="AK144" s="175"/>
      <c r="AL144" s="175"/>
      <c r="AM144" s="175"/>
      <c r="AN144" s="175"/>
      <c r="AO144" s="175"/>
      <c r="AP144" s="175"/>
      <c r="AQ144" s="175"/>
      <c r="AR144" s="175"/>
      <c r="AS144" s="175"/>
      <c r="AT144" s="175"/>
      <c r="AU144" s="175"/>
    </row>
    <row r="145" spans="2:47" ht="12.75" customHeight="1">
      <c r="B145" s="405" t="str">
        <f>Texte!A281</f>
        <v>Achat de paille pour l'affouragement </v>
      </c>
      <c r="C145" s="406"/>
      <c r="D145" s="406"/>
      <c r="E145" s="406"/>
      <c r="F145" s="102"/>
      <c r="G145" s="65"/>
      <c r="H145" s="66">
        <v>2</v>
      </c>
      <c r="I145" s="407"/>
      <c r="J145" s="747">
        <f t="shared" si="9"/>
        <v>0</v>
      </c>
      <c r="K145" s="407"/>
      <c r="L145" s="408"/>
      <c r="O145" s="719"/>
      <c r="P145" s="720"/>
      <c r="Q145" s="724">
        <f>IF(AND($H145=1,$O145&gt;0),Texte!$A$296,IF(AND($H145=2,$O145&gt;$J145),Texte!$A$296,IF(AND($H145=3,$O145&gt;$K145),Texte!$A$296,"")))</f>
      </c>
      <c r="V145" s="204" t="b">
        <f t="shared" si="10"/>
        <v>0</v>
      </c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</row>
    <row r="146" spans="2:47" ht="9" customHeight="1">
      <c r="B146" s="409"/>
      <c r="C146" s="172"/>
      <c r="D146" s="172"/>
      <c r="E146" s="172"/>
      <c r="F146" s="310"/>
      <c r="G146" s="310"/>
      <c r="H146" s="310"/>
      <c r="I146" s="310"/>
      <c r="J146" s="310"/>
      <c r="K146" s="310"/>
      <c r="L146" s="410"/>
      <c r="V146" s="204">
        <f>SUM(V130:V145)</f>
        <v>0</v>
      </c>
      <c r="W146" s="765" t="s">
        <v>1143</v>
      </c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</row>
    <row r="147" spans="2:47" ht="12.75" customHeight="1">
      <c r="B147" s="411" t="str">
        <f>Texte!A282</f>
        <v>C1: Total ventes de fourrages issus des prairies et pâturages</v>
      </c>
      <c r="C147" s="172"/>
      <c r="D147" s="172"/>
      <c r="E147" s="310"/>
      <c r="F147" s="310"/>
      <c r="H147" s="361"/>
      <c r="I147" s="759">
        <f>SUM(I125:I129)</f>
        <v>0</v>
      </c>
      <c r="J147" s="361"/>
      <c r="K147" s="361"/>
      <c r="L147" s="754">
        <f>I147</f>
        <v>0</v>
      </c>
      <c r="M147" s="310" t="str">
        <f>Texte!A$255</f>
        <v>dt MS</v>
      </c>
      <c r="N147" s="310"/>
      <c r="O147" s="310"/>
      <c r="P147" s="310"/>
      <c r="Q147" s="310"/>
      <c r="R147" s="310"/>
      <c r="S147" s="310"/>
      <c r="T147" s="310"/>
      <c r="AK147" s="175"/>
      <c r="AL147" s="175"/>
      <c r="AM147" s="175"/>
      <c r="AN147" s="175"/>
      <c r="AO147" s="175"/>
      <c r="AP147" s="175"/>
      <c r="AQ147" s="175"/>
      <c r="AR147" s="175"/>
      <c r="AS147" s="175"/>
      <c r="AT147" s="175"/>
      <c r="AU147" s="175"/>
    </row>
    <row r="148" spans="2:47" ht="12.75" customHeight="1">
      <c r="B148" s="411" t="str">
        <f>Texte!A283</f>
        <v>C2: Total ventes d'autres fourrages</v>
      </c>
      <c r="C148" s="172"/>
      <c r="D148" s="172"/>
      <c r="E148" s="310"/>
      <c r="F148" s="310"/>
      <c r="G148" s="361" t="s">
        <v>330</v>
      </c>
      <c r="H148" s="310"/>
      <c r="I148" s="759">
        <f>SUM(I130:I145)</f>
        <v>0</v>
      </c>
      <c r="J148" s="412"/>
      <c r="K148" s="412"/>
      <c r="L148" s="754">
        <f>I148</f>
        <v>0</v>
      </c>
      <c r="M148" s="310" t="str">
        <f>Texte!A$255</f>
        <v>dt MS</v>
      </c>
      <c r="N148" s="310"/>
      <c r="O148" s="310"/>
      <c r="P148" s="310"/>
      <c r="Q148" s="310"/>
      <c r="R148" s="310"/>
      <c r="S148" s="310"/>
      <c r="T148" s="413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</row>
    <row r="149" spans="2:47" ht="12.75" customHeight="1">
      <c r="B149" s="411" t="str">
        <f>Texte!A284</f>
        <v>C3: Total achats issus de prairies et pâturages</v>
      </c>
      <c r="C149" s="172"/>
      <c r="D149" s="172"/>
      <c r="E149" s="310"/>
      <c r="F149" s="310"/>
      <c r="G149" s="361"/>
      <c r="H149" s="310"/>
      <c r="I149" s="310"/>
      <c r="J149" s="754">
        <f>SUM(J125:J129)</f>
        <v>0</v>
      </c>
      <c r="K149" s="412"/>
      <c r="L149" s="754">
        <f>J149*-1</f>
        <v>0</v>
      </c>
      <c r="M149" s="310"/>
      <c r="N149" s="310"/>
      <c r="O149" s="310"/>
      <c r="P149" s="310"/>
      <c r="Q149" s="310"/>
      <c r="R149" s="310"/>
      <c r="S149" s="310"/>
      <c r="T149" s="413"/>
      <c r="AK149" s="175"/>
      <c r="AL149" s="175"/>
      <c r="AM149" s="175"/>
      <c r="AN149" s="175"/>
      <c r="AO149" s="175"/>
      <c r="AP149" s="175"/>
      <c r="AQ149" s="175"/>
      <c r="AR149" s="175"/>
      <c r="AS149" s="175"/>
      <c r="AT149" s="175"/>
      <c r="AU149" s="175"/>
    </row>
    <row r="150" spans="2:47" ht="12.75" customHeight="1">
      <c r="B150" s="411" t="str">
        <f>Texte!A285</f>
        <v>C4: Total achats d'autres fourrages</v>
      </c>
      <c r="C150" s="172"/>
      <c r="D150" s="172"/>
      <c r="E150" s="172"/>
      <c r="F150" s="310"/>
      <c r="G150" s="310"/>
      <c r="H150" s="361" t="s">
        <v>331</v>
      </c>
      <c r="I150" s="310"/>
      <c r="J150" s="754">
        <f>SUM(J130:J145)</f>
        <v>0</v>
      </c>
      <c r="L150" s="760">
        <f>J150*-1</f>
        <v>0</v>
      </c>
      <c r="M150" s="310" t="str">
        <f>Texte!A$255</f>
        <v>dt MS</v>
      </c>
      <c r="N150" s="310"/>
      <c r="O150" s="310"/>
      <c r="P150" s="310"/>
      <c r="Q150" s="310"/>
      <c r="R150" s="310"/>
      <c r="S150" s="310"/>
      <c r="T150" s="413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</row>
    <row r="151" spans="2:47" ht="12.75" customHeight="1">
      <c r="B151" s="411" t="str">
        <f>Texte!A286</f>
        <v>C5: Fourrages produits sur l'exploitation hors surface fourragère</v>
      </c>
      <c r="C151" s="172"/>
      <c r="D151" s="172"/>
      <c r="E151" s="172"/>
      <c r="F151" s="310"/>
      <c r="G151" s="310"/>
      <c r="H151" s="361"/>
      <c r="I151" s="310"/>
      <c r="J151" s="310"/>
      <c r="K151" s="754">
        <f>SUM(K125:K145)</f>
        <v>0</v>
      </c>
      <c r="L151" s="761">
        <f>K151*-1</f>
        <v>0</v>
      </c>
      <c r="M151" s="310"/>
      <c r="N151" s="310"/>
      <c r="O151" s="310"/>
      <c r="P151" s="310"/>
      <c r="Q151" s="310"/>
      <c r="R151" s="310"/>
      <c r="S151" s="310"/>
      <c r="T151" s="413"/>
      <c r="AK151" s="175"/>
      <c r="AL151" s="175"/>
      <c r="AM151" s="175"/>
      <c r="AN151" s="175"/>
      <c r="AO151" s="175"/>
      <c r="AP151" s="175"/>
      <c r="AQ151" s="175"/>
      <c r="AR151" s="175"/>
      <c r="AS151" s="175"/>
      <c r="AT151" s="175"/>
      <c r="AU151" s="175"/>
    </row>
    <row r="152" spans="2:47" ht="11.25" customHeight="1">
      <c r="B152" s="414"/>
      <c r="C152" s="172"/>
      <c r="D152" s="172"/>
      <c r="E152" s="172"/>
      <c r="F152" s="415"/>
      <c r="G152" s="415"/>
      <c r="H152" s="415"/>
      <c r="I152" s="415"/>
      <c r="J152" s="415"/>
      <c r="K152" s="415"/>
      <c r="L152" s="416"/>
      <c r="M152" s="310"/>
      <c r="N152" s="310"/>
      <c r="O152" s="310"/>
      <c r="P152" s="310"/>
      <c r="Q152" s="310"/>
      <c r="R152" s="310"/>
      <c r="S152" s="310"/>
      <c r="T152" s="310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</row>
    <row r="153" spans="2:47" ht="12.75" customHeight="1">
      <c r="B153" s="411" t="str">
        <f>Texte!A287</f>
        <v>Total des besoins nets en fourrages  </v>
      </c>
      <c r="C153" s="233"/>
      <c r="D153" s="233"/>
      <c r="E153" s="233"/>
      <c r="F153" s="310"/>
      <c r="G153" s="310"/>
      <c r="H153" s="310"/>
      <c r="I153" s="310"/>
      <c r="J153" s="310"/>
      <c r="K153" s="361" t="s">
        <v>333</v>
      </c>
      <c r="L153" s="762">
        <f>SUM(L121:L151)</f>
        <v>0</v>
      </c>
      <c r="M153" s="310" t="str">
        <f>Texte!A$255</f>
        <v>dt MS</v>
      </c>
      <c r="N153" s="310"/>
      <c r="O153" s="310"/>
      <c r="P153" s="310"/>
      <c r="Q153" s="310"/>
      <c r="R153" s="310"/>
      <c r="S153" s="310"/>
      <c r="T153" s="310"/>
      <c r="V153" s="544" t="s">
        <v>831</v>
      </c>
      <c r="W153" s="290"/>
      <c r="X153" s="172"/>
      <c r="Y153" s="172"/>
      <c r="AK153" s="175"/>
      <c r="AL153" s="175"/>
      <c r="AM153" s="175"/>
      <c r="AN153" s="175"/>
      <c r="AO153" s="175"/>
      <c r="AP153" s="175"/>
      <c r="AQ153" s="175"/>
      <c r="AR153" s="175"/>
      <c r="AS153" s="175"/>
      <c r="AT153" s="175"/>
      <c r="AU153" s="175"/>
    </row>
    <row r="154" spans="2:47" ht="12.75" customHeight="1">
      <c r="B154" s="414" t="str">
        <f>Texte!A288</f>
        <v>C6: Pertes de conservation et à la crèche : 0-5% des besoins nets en fourrages   </v>
      </c>
      <c r="C154" s="233"/>
      <c r="D154" s="233"/>
      <c r="E154" s="233"/>
      <c r="F154" s="310"/>
      <c r="G154" s="310"/>
      <c r="H154" s="310"/>
      <c r="I154" s="310"/>
      <c r="J154" s="310"/>
      <c r="K154" s="5"/>
      <c r="L154" s="754">
        <f>L153*K154/100</f>
        <v>0</v>
      </c>
      <c r="M154" s="310" t="str">
        <f>Texte!A$255</f>
        <v>dt MS</v>
      </c>
      <c r="N154" s="310"/>
      <c r="O154" s="310"/>
      <c r="P154" s="310"/>
      <c r="Q154" s="310"/>
      <c r="R154" s="310"/>
      <c r="S154" s="310"/>
      <c r="V154" s="515" t="b">
        <f>OR(AND(L83=0,K154&lt;=2.5),AND(L83&gt;0,K154&lt;=5))</f>
        <v>1</v>
      </c>
      <c r="W154" s="290" t="s">
        <v>845</v>
      </c>
      <c r="X154" s="172"/>
      <c r="Y154" s="172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</row>
    <row r="155" spans="2:47" ht="12.75" customHeight="1">
      <c r="B155" s="414" t="str">
        <f>Texte!A289</f>
        <v>C7: Marge d'erreur sur le bilan de matière sèche (MS) : 0-5% des besoins nets en fourrages </v>
      </c>
      <c r="C155" s="233"/>
      <c r="D155" s="233"/>
      <c r="E155" s="233"/>
      <c r="F155" s="310"/>
      <c r="G155" s="310"/>
      <c r="H155" s="310"/>
      <c r="I155" s="361"/>
      <c r="J155" s="310"/>
      <c r="K155" s="63"/>
      <c r="L155" s="754">
        <f>L153*K155/100</f>
        <v>0</v>
      </c>
      <c r="M155" s="310" t="str">
        <f>Texte!A$255</f>
        <v>dt MS</v>
      </c>
      <c r="N155" s="310"/>
      <c r="O155" s="310"/>
      <c r="P155" s="310"/>
      <c r="Q155" s="310"/>
      <c r="R155" s="310"/>
      <c r="S155" s="310"/>
      <c r="T155" s="310"/>
      <c r="V155" s="172"/>
      <c r="W155" s="172"/>
      <c r="X155" s="172"/>
      <c r="Y155" s="172"/>
      <c r="AK155" s="175"/>
      <c r="AL155" s="175"/>
      <c r="AM155" s="175"/>
      <c r="AN155" s="175"/>
      <c r="AO155" s="175"/>
      <c r="AP155" s="175"/>
      <c r="AQ155" s="175"/>
      <c r="AR155" s="175"/>
      <c r="AS155" s="175"/>
      <c r="AT155" s="175"/>
      <c r="AU155" s="175"/>
    </row>
    <row r="156" spans="2:47" ht="12.75" customHeight="1">
      <c r="B156" s="263" t="str">
        <f>Texte!A290</f>
        <v>Total des fourrages à produire sur l'exploitation  </v>
      </c>
      <c r="C156" s="264"/>
      <c r="D156" s="264"/>
      <c r="E156" s="264"/>
      <c r="F156" s="417"/>
      <c r="G156" s="417"/>
      <c r="H156" s="417"/>
      <c r="I156" s="417"/>
      <c r="J156" s="417"/>
      <c r="K156" s="264"/>
      <c r="L156" s="762">
        <f>SUM(L153:L155)</f>
        <v>0</v>
      </c>
      <c r="M156" s="310" t="str">
        <f>Texte!A$255</f>
        <v>dt MS</v>
      </c>
      <c r="N156" s="310"/>
      <c r="O156" s="310"/>
      <c r="P156" s="310"/>
      <c r="Q156" s="310"/>
      <c r="R156" s="310"/>
      <c r="S156" s="310"/>
      <c r="T156" s="310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</row>
    <row r="157" spans="2:47" ht="11.25" customHeight="1">
      <c r="B157" s="354"/>
      <c r="C157" s="354"/>
      <c r="D157" s="354"/>
      <c r="I157" s="172"/>
      <c r="J157" s="172"/>
      <c r="Y157" s="172"/>
      <c r="AA157" s="418"/>
      <c r="AB157" s="205"/>
      <c r="AC157" s="545" t="s">
        <v>828</v>
      </c>
      <c r="AD157" s="419">
        <v>0.3</v>
      </c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</row>
    <row r="158" spans="2:47" ht="15.75">
      <c r="B158" s="200" t="str">
        <f>Texte!A298</f>
        <v>Partie D: Bilan des fourrages</v>
      </c>
      <c r="C158" s="354"/>
      <c r="D158" s="354"/>
      <c r="E158" s="354"/>
      <c r="O158" s="200" t="str">
        <f>Texte!A328</f>
        <v>Bilan pour vache mère et veau</v>
      </c>
      <c r="V158" s="204"/>
      <c r="W158" s="204" t="s">
        <v>206</v>
      </c>
      <c r="X158" s="204" t="s">
        <v>207</v>
      </c>
      <c r="Y158" s="290"/>
      <c r="Z158" s="204"/>
      <c r="AA158" s="418" t="s">
        <v>217</v>
      </c>
      <c r="AB158" s="419"/>
      <c r="AD158" s="420" t="s">
        <v>367</v>
      </c>
      <c r="AE158" s="420"/>
      <c r="AF158" s="420"/>
      <c r="AG158" s="418"/>
      <c r="AK158" s="175"/>
      <c r="AL158" s="175"/>
      <c r="AM158" s="175"/>
      <c r="AN158" s="175"/>
      <c r="AO158" s="175"/>
      <c r="AP158" s="175"/>
      <c r="AQ158" s="175"/>
      <c r="AR158" s="175"/>
      <c r="AS158" s="175"/>
      <c r="AT158" s="175"/>
      <c r="AU158" s="175"/>
    </row>
    <row r="159" spans="22:47" ht="7.5" customHeight="1">
      <c r="V159" s="204"/>
      <c r="W159" s="204"/>
      <c r="X159" s="204"/>
      <c r="Y159" s="204"/>
      <c r="Z159" s="204"/>
      <c r="AA159" s="205"/>
      <c r="AB159" s="205"/>
      <c r="AD159" s="418"/>
      <c r="AE159" s="418"/>
      <c r="AF159" s="418"/>
      <c r="AG159" s="418"/>
      <c r="AI159" s="421"/>
      <c r="AJ159" s="421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</row>
    <row r="160" spans="2:45" ht="11.25" customHeight="1">
      <c r="B160" s="422"/>
      <c r="C160" s="423"/>
      <c r="D160" s="423"/>
      <c r="E160" s="424"/>
      <c r="F160" s="425" t="str">
        <f>Texte!A309</f>
        <v>Total des</v>
      </c>
      <c r="G160" s="426"/>
      <c r="H160" s="235" t="str">
        <f>Texte!A311</f>
        <v>Four. prairies</v>
      </c>
      <c r="I160" s="237"/>
      <c r="J160" s="235" t="str">
        <f>Texte!A313</f>
        <v>Autres</v>
      </c>
      <c r="K160" s="237"/>
      <c r="L160" s="425" t="str">
        <f>Texte!A315</f>
        <v>Concentrés</v>
      </c>
      <c r="M160" s="426"/>
      <c r="O160" s="695" t="str">
        <f>Texte!A329</f>
        <v>Total des</v>
      </c>
      <c r="P160" s="695" t="str">
        <f>Texte!A331</f>
        <v>Four. prairies</v>
      </c>
      <c r="Q160" s="695" t="str">
        <f>Texte!A333</f>
        <v>Autres</v>
      </c>
      <c r="R160" s="695" t="str">
        <f>Texte!A335</f>
        <v>Concentrés</v>
      </c>
      <c r="V160" s="204" t="s">
        <v>1222</v>
      </c>
      <c r="W160" s="290">
        <v>75</v>
      </c>
      <c r="X160" s="427">
        <v>85</v>
      </c>
      <c r="Y160" s="418"/>
      <c r="Z160" s="418"/>
      <c r="AA160" s="205" t="str">
        <f>Texte!A229</f>
        <v>Zones de plaine</v>
      </c>
      <c r="AB160" s="419">
        <v>1</v>
      </c>
      <c r="AD160" s="515">
        <f aca="true" t="shared" si="11" ref="AD160:AD165">($AB160*C197)+(E197*AD$157*$AB160)</f>
        <v>0</v>
      </c>
      <c r="AE160" s="418"/>
      <c r="AF160" s="418"/>
      <c r="AG160" s="418"/>
      <c r="AH160" s="421"/>
      <c r="AI160" s="175"/>
      <c r="AJ160" s="175"/>
      <c r="AK160" s="175"/>
      <c r="AL160" s="175"/>
      <c r="AM160" s="175"/>
      <c r="AN160" s="175"/>
      <c r="AO160" s="175"/>
      <c r="AP160" s="175"/>
      <c r="AQ160" s="175"/>
      <c r="AR160" s="175"/>
      <c r="AS160" s="175"/>
    </row>
    <row r="161" spans="2:45" ht="11.25" customHeight="1">
      <c r="B161" s="429"/>
      <c r="C161" s="172"/>
      <c r="D161" s="172"/>
      <c r="E161" s="430"/>
      <c r="F161" s="431" t="str">
        <f>Texte!A310</f>
        <v>besoins</v>
      </c>
      <c r="G161" s="432"/>
      <c r="H161" s="249" t="str">
        <f>Texte!A312</f>
        <v>et pâturages</v>
      </c>
      <c r="I161" s="250"/>
      <c r="J161" s="249" t="str">
        <f>Texte!A314</f>
        <v>fourrages total</v>
      </c>
      <c r="K161" s="250"/>
      <c r="L161" s="433"/>
      <c r="M161" s="434"/>
      <c r="O161" s="696" t="str">
        <f>Texte!A330</f>
        <v>besoins</v>
      </c>
      <c r="P161" s="696" t="str">
        <f>Texte!A332</f>
        <v>et pâturages</v>
      </c>
      <c r="Q161" s="696" t="str">
        <f>Texte!A334</f>
        <v>fourrages total</v>
      </c>
      <c r="R161" s="696"/>
      <c r="V161" s="204" t="s">
        <v>208</v>
      </c>
      <c r="W161" s="290">
        <v>15</v>
      </c>
      <c r="X161" s="427">
        <v>5</v>
      </c>
      <c r="Y161" s="418"/>
      <c r="Z161" s="418"/>
      <c r="AA161" s="205" t="str">
        <f>Texte!A230</f>
        <v>Zone des collines</v>
      </c>
      <c r="AB161" s="419">
        <v>0.8</v>
      </c>
      <c r="AD161" s="515">
        <f t="shared" si="11"/>
        <v>0</v>
      </c>
      <c r="AE161" s="418"/>
      <c r="AF161" s="418"/>
      <c r="AG161" s="418"/>
      <c r="AH161" s="421"/>
      <c r="AI161" s="175"/>
      <c r="AJ161" s="175"/>
      <c r="AK161" s="175"/>
      <c r="AL161" s="175"/>
      <c r="AM161" s="175"/>
      <c r="AN161" s="175"/>
      <c r="AO161" s="175"/>
      <c r="AP161" s="175"/>
      <c r="AQ161" s="175"/>
      <c r="AR161" s="175"/>
      <c r="AS161" s="175"/>
    </row>
    <row r="162" spans="2:45" ht="11.25" customHeight="1">
      <c r="B162" s="429"/>
      <c r="C162" s="172"/>
      <c r="D162" s="172"/>
      <c r="E162" s="430"/>
      <c r="F162" s="645" t="s">
        <v>1279</v>
      </c>
      <c r="G162" s="646"/>
      <c r="H162" s="647" t="s">
        <v>1280</v>
      </c>
      <c r="I162" s="648"/>
      <c r="J162" s="647" t="s">
        <v>558</v>
      </c>
      <c r="K162" s="649"/>
      <c r="L162" s="650" t="str">
        <f>Texte!A316</f>
        <v>(A4+A7 en MS)</v>
      </c>
      <c r="M162" s="651"/>
      <c r="O162" s="697"/>
      <c r="P162" s="697"/>
      <c r="Q162" s="697"/>
      <c r="R162" s="697"/>
      <c r="V162" s="204" t="s">
        <v>209</v>
      </c>
      <c r="W162" s="290">
        <v>10</v>
      </c>
      <c r="X162" s="427">
        <v>10</v>
      </c>
      <c r="Y162" s="418"/>
      <c r="Z162" s="418"/>
      <c r="AA162" s="205" t="str">
        <f>Texte!A231</f>
        <v>Zone montagne 1</v>
      </c>
      <c r="AB162" s="419">
        <v>0.7</v>
      </c>
      <c r="AD162" s="515">
        <f t="shared" si="11"/>
        <v>0</v>
      </c>
      <c r="AE162" s="418"/>
      <c r="AF162" s="418"/>
      <c r="AG162" s="418"/>
      <c r="AH162" s="421"/>
      <c r="AI162" s="175"/>
      <c r="AJ162" s="175"/>
      <c r="AK162" s="175"/>
      <c r="AL162" s="175"/>
      <c r="AM162" s="175"/>
      <c r="AN162" s="175"/>
      <c r="AO162" s="175"/>
      <c r="AP162" s="175"/>
      <c r="AQ162" s="175"/>
      <c r="AR162" s="175"/>
      <c r="AS162" s="175"/>
    </row>
    <row r="163" spans="2:45" ht="11.25" customHeight="1">
      <c r="B163" s="251"/>
      <c r="C163" s="221"/>
      <c r="D163" s="221"/>
      <c r="E163" s="252"/>
      <c r="F163" s="268" t="s">
        <v>342</v>
      </c>
      <c r="G163" s="435" t="s">
        <v>343</v>
      </c>
      <c r="H163" s="268" t="s">
        <v>342</v>
      </c>
      <c r="I163" s="268" t="s">
        <v>344</v>
      </c>
      <c r="J163" s="268" t="s">
        <v>342</v>
      </c>
      <c r="K163" s="436" t="s">
        <v>343</v>
      </c>
      <c r="L163" s="437" t="s">
        <v>342</v>
      </c>
      <c r="M163" s="438" t="s">
        <v>344</v>
      </c>
      <c r="O163" s="269" t="s">
        <v>342</v>
      </c>
      <c r="P163" s="269" t="s">
        <v>342</v>
      </c>
      <c r="Q163" s="269" t="s">
        <v>342</v>
      </c>
      <c r="R163" s="269" t="s">
        <v>342</v>
      </c>
      <c r="V163" s="204" t="s">
        <v>848</v>
      </c>
      <c r="W163" s="290">
        <v>90</v>
      </c>
      <c r="X163" s="427">
        <v>90</v>
      </c>
      <c r="Y163" s="418"/>
      <c r="Z163" s="418"/>
      <c r="AA163" s="205" t="str">
        <f>Texte!A232</f>
        <v>Zone montagne 2</v>
      </c>
      <c r="AB163" s="419">
        <v>0.6</v>
      </c>
      <c r="AD163" s="515">
        <f t="shared" si="11"/>
        <v>0</v>
      </c>
      <c r="AE163" s="418"/>
      <c r="AF163" s="418"/>
      <c r="AG163" s="418"/>
      <c r="AH163" s="421"/>
      <c r="AI163" s="175"/>
      <c r="AJ163" s="175"/>
      <c r="AK163" s="175"/>
      <c r="AL163" s="175"/>
      <c r="AM163" s="175"/>
      <c r="AN163" s="175"/>
      <c r="AO163" s="175"/>
      <c r="AP163" s="175"/>
      <c r="AQ163" s="175"/>
      <c r="AR163" s="175"/>
      <c r="AS163" s="175"/>
    </row>
    <row r="164" spans="2:45" ht="11.25" customHeight="1">
      <c r="B164" s="335" t="str">
        <f>Texte!A299</f>
        <v>Consommation totale</v>
      </c>
      <c r="C164" s="336"/>
      <c r="D164" s="336"/>
      <c r="E164" s="337"/>
      <c r="F164" s="758">
        <f>$N$87</f>
        <v>0</v>
      </c>
      <c r="G164" s="439"/>
      <c r="H164" s="746"/>
      <c r="I164" s="439"/>
      <c r="J164" s="746"/>
      <c r="K164" s="439"/>
      <c r="L164" s="758"/>
      <c r="M164" s="439"/>
      <c r="O164" s="758">
        <f>SUM(L48:L53)+SUM(M48:M53)*0.88</f>
        <v>0</v>
      </c>
      <c r="P164" s="441"/>
      <c r="Q164" s="441"/>
      <c r="R164" s="441"/>
      <c r="Y164" s="418"/>
      <c r="Z164" s="418"/>
      <c r="AA164" s="205" t="str">
        <f>Texte!A233</f>
        <v>Zone montagne 3</v>
      </c>
      <c r="AB164" s="419">
        <v>0.5</v>
      </c>
      <c r="AD164" s="515">
        <f t="shared" si="11"/>
        <v>0</v>
      </c>
      <c r="AE164" s="418"/>
      <c r="AF164" s="418"/>
      <c r="AG164" s="209" t="str">
        <f>Texte!A356</f>
        <v>valeur limite</v>
      </c>
      <c r="AH164" s="166"/>
      <c r="AI164" s="166"/>
      <c r="AJ164" s="166"/>
      <c r="AK164" s="175"/>
      <c r="AL164" s="175"/>
      <c r="AM164" s="175"/>
      <c r="AN164" s="175"/>
      <c r="AO164" s="175"/>
      <c r="AP164" s="175"/>
      <c r="AQ164" s="175"/>
      <c r="AR164" s="175"/>
      <c r="AS164" s="175"/>
    </row>
    <row r="165" spans="2:45" ht="11.25" customHeight="1">
      <c r="B165" s="338" t="str">
        <f>Texte!A300</f>
        <v>[+] Pertes et marge d'erreur</v>
      </c>
      <c r="C165" s="339"/>
      <c r="D165" s="339"/>
      <c r="E165" s="340"/>
      <c r="F165" s="740">
        <f>SUM($L$154:$L$155)</f>
        <v>0</v>
      </c>
      <c r="G165" s="441"/>
      <c r="H165" s="740"/>
      <c r="I165" s="441"/>
      <c r="J165" s="740"/>
      <c r="K165" s="441"/>
      <c r="L165" s="740"/>
      <c r="M165" s="441"/>
      <c r="O165" s="740">
        <f>IF(SUM(L48:L53)=0,"",SUM(L48:L53)/L84*F165)</f>
      </c>
      <c r="P165" s="441"/>
      <c r="Q165" s="441"/>
      <c r="R165" s="441"/>
      <c r="V165" s="440"/>
      <c r="W165" s="290"/>
      <c r="X165" s="204"/>
      <c r="Y165" s="418"/>
      <c r="Z165" s="418"/>
      <c r="AA165" s="205" t="str">
        <f>Texte!A234</f>
        <v>Zone montagne 4</v>
      </c>
      <c r="AB165" s="419">
        <v>0.4</v>
      </c>
      <c r="AD165" s="515">
        <f t="shared" si="11"/>
        <v>0</v>
      </c>
      <c r="AE165" s="418"/>
      <c r="AF165" s="418"/>
      <c r="AG165" s="563"/>
      <c r="AH165" s="564"/>
      <c r="AI165" s="481" t="str">
        <f>IF($U$11=1,Texte!A357,IF($U$11="",Texte!A360,Texte!A358))</f>
        <v>La région n'a pas été saisie.</v>
      </c>
      <c r="AJ165" s="481"/>
      <c r="AK165" s="175"/>
      <c r="AL165" s="175"/>
      <c r="AM165" s="175"/>
      <c r="AN165" s="175"/>
      <c r="AO165" s="175"/>
      <c r="AP165" s="175"/>
      <c r="AQ165" s="175"/>
      <c r="AR165" s="175"/>
      <c r="AS165" s="175"/>
    </row>
    <row r="166" spans="2:45" ht="11.25" customHeight="1">
      <c r="B166" s="338" t="str">
        <f>Texte!A301</f>
        <v>[+] Consommation durant estivage</v>
      </c>
      <c r="C166" s="339"/>
      <c r="D166" s="339"/>
      <c r="E166" s="340"/>
      <c r="F166" s="740">
        <f>L90+N91</f>
        <v>0</v>
      </c>
      <c r="G166" s="441"/>
      <c r="H166" s="740"/>
      <c r="I166" s="441"/>
      <c r="J166" s="740"/>
      <c r="K166" s="441"/>
      <c r="L166" s="740"/>
      <c r="M166" s="441"/>
      <c r="O166" s="740">
        <f>SUM(Q48:Q53)</f>
        <v>0</v>
      </c>
      <c r="P166" s="441"/>
      <c r="Q166" s="441"/>
      <c r="R166" s="441"/>
      <c r="V166" s="440"/>
      <c r="W166" s="290"/>
      <c r="X166" s="204"/>
      <c r="Y166" s="418"/>
      <c r="Z166" s="418"/>
      <c r="AA166" s="205"/>
      <c r="AB166" s="419"/>
      <c r="AD166" s="517"/>
      <c r="AE166" s="418"/>
      <c r="AF166" s="418"/>
      <c r="AG166" s="241"/>
      <c r="AH166" s="172"/>
      <c r="AI166" s="643"/>
      <c r="AJ166" s="644"/>
      <c r="AK166" s="175"/>
      <c r="AL166" s="175"/>
      <c r="AM166" s="175"/>
      <c r="AN166" s="175"/>
      <c r="AO166" s="175"/>
      <c r="AP166" s="175"/>
      <c r="AQ166" s="175"/>
      <c r="AR166" s="175"/>
      <c r="AS166" s="175"/>
    </row>
    <row r="167" spans="2:45" ht="11.25" customHeight="1">
      <c r="B167" s="338" t="str">
        <f>Texte!A302</f>
        <v>Production</v>
      </c>
      <c r="C167" s="339"/>
      <c r="D167" s="339"/>
      <c r="E167" s="340"/>
      <c r="F167" s="740"/>
      <c r="G167" s="441"/>
      <c r="H167" s="740">
        <f>$L$116</f>
        <v>0</v>
      </c>
      <c r="I167" s="441"/>
      <c r="J167" s="740">
        <f>$L$117</f>
        <v>0</v>
      </c>
      <c r="K167" s="441"/>
      <c r="L167" s="740"/>
      <c r="M167" s="441"/>
      <c r="O167" s="441"/>
      <c r="P167" s="745">
        <f>P172-P169</f>
        <v>0</v>
      </c>
      <c r="Q167" s="745">
        <f>SUM(O98:O102)</f>
        <v>0</v>
      </c>
      <c r="R167" s="441"/>
      <c r="V167" s="442"/>
      <c r="W167" s="290"/>
      <c r="X167" s="204"/>
      <c r="Y167" s="418"/>
      <c r="Z167" s="418"/>
      <c r="AA167" s="205"/>
      <c r="AD167" s="517"/>
      <c r="AE167" s="418">
        <f>I17</f>
        <v>0</v>
      </c>
      <c r="AF167" s="418">
        <f>L17</f>
        <v>0</v>
      </c>
      <c r="AG167" s="241" t="str">
        <f>Texte!$A311</f>
        <v>Four. prairies</v>
      </c>
      <c r="AH167" s="172"/>
      <c r="AI167" s="561">
        <f>IF($U$11=1,$W$160,IF($U$11="","",$X$160))</f>
      </c>
      <c r="AJ167" s="562"/>
      <c r="AK167" s="175"/>
      <c r="AL167" s="175"/>
      <c r="AM167" s="175"/>
      <c r="AN167" s="175"/>
      <c r="AO167" s="175"/>
      <c r="AP167" s="175"/>
      <c r="AQ167" s="175"/>
      <c r="AR167" s="175"/>
      <c r="AS167" s="175"/>
    </row>
    <row r="168" spans="2:45" ht="12.75" customHeight="1">
      <c r="B168" s="338" t="str">
        <f>Texte!A303</f>
        <v>[+] Achats</v>
      </c>
      <c r="C168" s="521"/>
      <c r="D168" s="522"/>
      <c r="E168" s="523"/>
      <c r="F168" s="740"/>
      <c r="G168" s="441"/>
      <c r="H168" s="740">
        <f>$J$149</f>
        <v>0</v>
      </c>
      <c r="I168" s="441"/>
      <c r="J168" s="740">
        <f>SUM($J$150,$K$151)</f>
        <v>0</v>
      </c>
      <c r="K168" s="441"/>
      <c r="L168" s="740">
        <f>$N$86*0.88</f>
        <v>0</v>
      </c>
      <c r="M168" s="441"/>
      <c r="O168" s="441"/>
      <c r="P168" s="441"/>
      <c r="Q168" s="740">
        <f>SUM(O130:O145)</f>
        <v>0</v>
      </c>
      <c r="R168" s="745">
        <f>SUM(M48:M53)*0.88</f>
        <v>0</v>
      </c>
      <c r="V168" s="418" t="s">
        <v>84</v>
      </c>
      <c r="W168" s="290" t="s">
        <v>206</v>
      </c>
      <c r="X168" s="204" t="s">
        <v>207</v>
      </c>
      <c r="Y168" s="418"/>
      <c r="Z168" s="418"/>
      <c r="AA168" s="205"/>
      <c r="AB168" s="205"/>
      <c r="AD168" s="428"/>
      <c r="AE168" s="418"/>
      <c r="AF168" s="418"/>
      <c r="AG168" s="480" t="str">
        <f>Texte!$A312</f>
        <v>et pâturages</v>
      </c>
      <c r="AH168" s="519"/>
      <c r="AI168" s="483"/>
      <c r="AJ168" s="484"/>
      <c r="AK168" s="175"/>
      <c r="AL168" s="175"/>
      <c r="AM168" s="175"/>
      <c r="AN168" s="175"/>
      <c r="AO168" s="175"/>
      <c r="AP168" s="175"/>
      <c r="AQ168" s="175"/>
      <c r="AR168" s="175"/>
      <c r="AS168" s="175"/>
    </row>
    <row r="169" spans="2:45" ht="12.75" customHeight="1">
      <c r="B169" s="338" t="str">
        <f>Texte!A304</f>
        <v>[+] Fourrages/concentrés durant estivage</v>
      </c>
      <c r="C169" s="521"/>
      <c r="D169" s="522"/>
      <c r="E169" s="523"/>
      <c r="F169" s="740"/>
      <c r="G169" s="441"/>
      <c r="H169" s="740">
        <f>L90</f>
        <v>0</v>
      </c>
      <c r="I169" s="441"/>
      <c r="J169" s="740"/>
      <c r="K169" s="441"/>
      <c r="L169" s="740">
        <f>N91</f>
        <v>0</v>
      </c>
      <c r="M169" s="441"/>
      <c r="O169" s="441"/>
      <c r="P169" s="745">
        <f>SUM(Q48:Q53)</f>
        <v>0</v>
      </c>
      <c r="Q169" s="441"/>
      <c r="R169" s="441"/>
      <c r="V169" s="418"/>
      <c r="W169" s="290"/>
      <c r="X169" s="204"/>
      <c r="Y169" s="418"/>
      <c r="Z169" s="418"/>
      <c r="AA169" s="205"/>
      <c r="AB169" s="205"/>
      <c r="AD169" s="428"/>
      <c r="AE169" s="418"/>
      <c r="AF169" s="418"/>
      <c r="AG169" s="241"/>
      <c r="AH169" s="172"/>
      <c r="AI169" s="561"/>
      <c r="AJ169" s="562"/>
      <c r="AK169" s="175"/>
      <c r="AL169" s="175"/>
      <c r="AM169" s="175"/>
      <c r="AN169" s="175"/>
      <c r="AO169" s="175"/>
      <c r="AP169" s="175"/>
      <c r="AQ169" s="175"/>
      <c r="AR169" s="175"/>
      <c r="AS169" s="175"/>
    </row>
    <row r="170" spans="2:45" ht="12.75" customHeight="1">
      <c r="B170" s="520" t="str">
        <f>Texte!A305</f>
        <v>[-] Ventes</v>
      </c>
      <c r="C170" s="521"/>
      <c r="D170" s="522"/>
      <c r="E170" s="523"/>
      <c r="F170" s="745"/>
      <c r="G170" s="441"/>
      <c r="H170" s="745">
        <f>$I$147*-1</f>
        <v>0</v>
      </c>
      <c r="I170" s="441"/>
      <c r="J170" s="745">
        <f>$I$148*-1</f>
        <v>0</v>
      </c>
      <c r="K170" s="441"/>
      <c r="L170" s="745"/>
      <c r="M170" s="441"/>
      <c r="O170" s="441"/>
      <c r="P170" s="441"/>
      <c r="Q170" s="441"/>
      <c r="R170" s="441"/>
      <c r="V170" s="418" t="s">
        <v>847</v>
      </c>
      <c r="W170" s="515" t="str">
        <f>IF(AND($U$11=1,$I$172&gt;=$W$160),"ok","nein")</f>
        <v>nein</v>
      </c>
      <c r="X170" s="515" t="str">
        <f>IF(AND($U$11=2,$I$172&gt;=$X$160),"ok","nein")</f>
        <v>nein</v>
      </c>
      <c r="Y170" s="418"/>
      <c r="Z170" s="418"/>
      <c r="AA170" s="205" t="s">
        <v>85</v>
      </c>
      <c r="AB170" s="517"/>
      <c r="AC170" s="206"/>
      <c r="AD170" s="515">
        <f>IF($J$113=0,"",SUM($AD$160:$AD$165)/$J$113)</f>
      </c>
      <c r="AE170" s="418"/>
      <c r="AF170" s="418"/>
      <c r="AG170" s="478" t="str">
        <f>Texte!$A315</f>
        <v>Concentrés</v>
      </c>
      <c r="AH170" s="479"/>
      <c r="AI170" s="547">
        <f>IF($U$11=1,$W$162,IF($U$11="","",$X$162))</f>
      </c>
      <c r="AJ170" s="485"/>
      <c r="AK170" s="175"/>
      <c r="AL170" s="175"/>
      <c r="AM170" s="175"/>
      <c r="AN170" s="175"/>
      <c r="AO170" s="175"/>
      <c r="AP170" s="175"/>
      <c r="AQ170" s="175"/>
      <c r="AR170" s="175"/>
      <c r="AS170" s="175"/>
    </row>
    <row r="171" spans="2:45" ht="12.75" customHeight="1" thickBot="1">
      <c r="B171" s="524" t="str">
        <f>Texte!A306</f>
        <v>[-] Fourrages pour d'autres animaux</v>
      </c>
      <c r="C171" s="525"/>
      <c r="D171" s="526"/>
      <c r="E171" s="527"/>
      <c r="F171" s="763"/>
      <c r="G171" s="443"/>
      <c r="H171" s="744">
        <f>$M$80*-1</f>
        <v>0</v>
      </c>
      <c r="I171" s="443"/>
      <c r="J171" s="744">
        <f>$L$80*-1-($M$80*-1)</f>
        <v>0</v>
      </c>
      <c r="K171" s="441"/>
      <c r="L171" s="764"/>
      <c r="M171" s="443"/>
      <c r="O171" s="441"/>
      <c r="P171" s="441"/>
      <c r="Q171" s="441"/>
      <c r="R171" s="441"/>
      <c r="V171" s="418" t="s">
        <v>83</v>
      </c>
      <c r="W171" s="515" t="str">
        <f>IF(AND($U$11=1,$I$172+$K$172&gt;=$W$163,$I$172&gt;=$W$160),"ok","nein")</f>
        <v>nein</v>
      </c>
      <c r="X171" s="515" t="str">
        <f>IF(AND($U$11=2,$I$172+$K$172&gt;=$X$163,$I$172&gt;=$X$160),"ok","nein")</f>
        <v>nein</v>
      </c>
      <c r="Y171" s="418"/>
      <c r="Z171" s="418"/>
      <c r="AA171" s="205"/>
      <c r="AB171" s="205"/>
      <c r="AC171" s="206"/>
      <c r="AD171" s="206"/>
      <c r="AE171" s="210"/>
      <c r="AF171" s="169"/>
      <c r="AG171" s="478" t="str">
        <f>Texte!$A361</f>
        <v>Autres fourrages</v>
      </c>
      <c r="AH171" s="557"/>
      <c r="AI171" s="547">
        <f>IF($U$11=1,$W$163,IF($U$11="","",$X$163))</f>
      </c>
      <c r="AJ171" s="485"/>
      <c r="AK171" s="175"/>
      <c r="AL171" s="175"/>
      <c r="AM171" s="175"/>
      <c r="AN171" s="175"/>
      <c r="AO171" s="175"/>
      <c r="AP171" s="175"/>
      <c r="AQ171" s="175"/>
      <c r="AR171" s="175"/>
      <c r="AS171" s="175"/>
    </row>
    <row r="172" spans="2:45" ht="12.75" customHeight="1" thickBot="1">
      <c r="B172" s="444" t="str">
        <f>Texte!A307</f>
        <v>Bilan</v>
      </c>
      <c r="C172" s="445"/>
      <c r="D172" s="445"/>
      <c r="E172" s="446"/>
      <c r="F172" s="529">
        <f>SUM($F$164:$F$171)</f>
        <v>0</v>
      </c>
      <c r="G172" s="530">
        <v>100</v>
      </c>
      <c r="H172" s="531">
        <f>SUM($H$167:$H$171)</f>
        <v>0</v>
      </c>
      <c r="I172" s="447">
        <f>IF($F$172=0,"",ROUND($H$172/$F$172*100,1))</f>
      </c>
      <c r="J172" s="532">
        <f>SUM($J$167:$J$171)</f>
        <v>0</v>
      </c>
      <c r="K172" s="447">
        <f>IF(OR($J$172&lt;0,$F$172=0),"",ROUND($J$172/$F$172*100,1))</f>
      </c>
      <c r="L172" s="531">
        <f>SUM($L$167:$L$171)</f>
        <v>0</v>
      </c>
      <c r="M172" s="448">
        <f>IF($F$172=0,"",ROUND($L$172/$F$172*100,1))</f>
      </c>
      <c r="O172" s="698">
        <f>SUM(O164:O171)</f>
        <v>0</v>
      </c>
      <c r="P172" s="529">
        <f>O172-Q172-R172</f>
        <v>0</v>
      </c>
      <c r="Q172" s="529">
        <f>SUM(Q164:Q171)</f>
        <v>0</v>
      </c>
      <c r="R172" s="699">
        <f>SUM(R164:R171)</f>
        <v>0</v>
      </c>
      <c r="V172" s="418" t="s">
        <v>209</v>
      </c>
      <c r="W172" s="515" t="str">
        <f>IF(AND($U$11=1,$M$172&lt;=$W$162),"ok","nein")</f>
        <v>nein</v>
      </c>
      <c r="X172" s="515" t="str">
        <f>IF(AND($U$11=2,$M$172&lt;=$X$162),"ok","nein")</f>
        <v>nein</v>
      </c>
      <c r="Y172" s="418"/>
      <c r="Z172" s="418"/>
      <c r="AA172" s="205"/>
      <c r="AB172" s="449"/>
      <c r="AC172" s="795"/>
      <c r="AD172" s="796"/>
      <c r="AE172" s="796"/>
      <c r="AF172" s="796"/>
      <c r="AG172" s="558" t="str">
        <f>Texte!$A314</f>
        <v>fourrages total</v>
      </c>
      <c r="AH172" s="560"/>
      <c r="AI172" s="565"/>
      <c r="AJ172" s="559"/>
      <c r="AK172" s="175"/>
      <c r="AL172" s="175"/>
      <c r="AM172" s="175"/>
      <c r="AN172" s="175"/>
      <c r="AO172" s="175"/>
      <c r="AP172" s="175"/>
      <c r="AQ172" s="175"/>
      <c r="AR172" s="175"/>
      <c r="AS172" s="175"/>
    </row>
    <row r="173" spans="2:45" ht="12.75" customHeight="1" thickBot="1">
      <c r="B173" s="452" t="str">
        <f>Texte!A308</f>
        <v>Parts exigées dans la ration</v>
      </c>
      <c r="C173" s="453"/>
      <c r="D173" s="453"/>
      <c r="E173" s="454"/>
      <c r="F173" s="216"/>
      <c r="G173" s="455"/>
      <c r="H173" s="213" t="s">
        <v>989</v>
      </c>
      <c r="I173" s="528">
        <f>IF($U$11=1,$W$160,IF($U$11=2,$X$160,""))</f>
      </c>
      <c r="J173" s="216"/>
      <c r="K173" s="172"/>
      <c r="L173" s="350" t="s">
        <v>990</v>
      </c>
      <c r="M173" s="528">
        <f>$W$162</f>
        <v>10</v>
      </c>
      <c r="O173" s="447">
        <v>100</v>
      </c>
      <c r="P173" s="447">
        <f>IF($O$172=0,"",ROUND($P$172/$O$172*100,1))</f>
      </c>
      <c r="Q173" s="447">
        <f>IF(OR($Q$172&lt;0,$O$172=0),"",ROUND($Q$172/$O$172*100,1))</f>
      </c>
      <c r="R173" s="447">
        <f>IF($O$172=0,"",ROUND($R$172/$O$172*100,1))</f>
      </c>
      <c r="V173" s="418" t="s">
        <v>846</v>
      </c>
      <c r="W173" s="515" t="str">
        <f>IF(AND($W$170="ok",$W$171="ok",$W$172="ok"),"io","n. io")</f>
        <v>n. io</v>
      </c>
      <c r="X173" s="515" t="str">
        <f>IF(AND($X$170="ok",$X$171="ok",$X$172="ok"),"io","n. io")</f>
        <v>n. io</v>
      </c>
      <c r="Y173" s="418"/>
      <c r="Z173" s="418"/>
      <c r="AA173" s="205"/>
      <c r="AB173" s="449"/>
      <c r="AC173" s="450"/>
      <c r="AD173" s="451"/>
      <c r="AE173" s="451"/>
      <c r="AF173" s="451"/>
      <c r="AG173" s="421"/>
      <c r="AH173" s="421"/>
      <c r="AI173" s="482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75"/>
    </row>
    <row r="174" spans="2:45" ht="12.75" customHeight="1" thickBot="1">
      <c r="B174" s="456"/>
      <c r="C174" s="216"/>
      <c r="D174" s="216"/>
      <c r="E174" s="216"/>
      <c r="F174" s="628">
        <f>IF(OR(H172&lt;0,J172&lt;0,L172&lt;0),Texte!A318,"")</f>
      </c>
      <c r="G174" s="516"/>
      <c r="H174" s="216"/>
      <c r="I174" s="457"/>
      <c r="J174" s="548"/>
      <c r="L174" s="355"/>
      <c r="M174" s="475" t="str">
        <f>IF($U$11="",Texte!A360,"")</f>
        <v>La région n'a pas été saisie.</v>
      </c>
      <c r="Y174" s="418"/>
      <c r="Z174" s="418"/>
      <c r="AA174" s="205"/>
      <c r="AB174" s="449"/>
      <c r="AC174" s="450"/>
      <c r="AD174" s="451"/>
      <c r="AE174" s="451"/>
      <c r="AF174" s="451"/>
      <c r="AG174" s="172"/>
      <c r="AH174" s="421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</row>
    <row r="175" spans="1:45" ht="7.5" customHeight="1">
      <c r="A175" s="459"/>
      <c r="B175" s="460"/>
      <c r="C175" s="461"/>
      <c r="D175" s="461"/>
      <c r="E175" s="461"/>
      <c r="F175" s="463"/>
      <c r="G175" s="461"/>
      <c r="H175" s="463"/>
      <c r="I175" s="462"/>
      <c r="J175" s="463"/>
      <c r="K175" s="462"/>
      <c r="L175" s="462"/>
      <c r="M175" s="465"/>
      <c r="N175" s="351"/>
      <c r="O175" s="460"/>
      <c r="P175" s="462"/>
      <c r="Q175" s="462"/>
      <c r="R175" s="465"/>
      <c r="V175" s="418"/>
      <c r="W175" s="290"/>
      <c r="X175" s="204"/>
      <c r="Y175" s="418"/>
      <c r="Z175" s="418"/>
      <c r="AA175" s="205"/>
      <c r="AB175" s="449"/>
      <c r="AC175" s="450"/>
      <c r="AD175" s="451"/>
      <c r="AE175" s="451"/>
      <c r="AF175" s="451"/>
      <c r="AG175" s="421"/>
      <c r="AH175" s="421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</row>
    <row r="176" spans="1:45" ht="12.75" customHeight="1">
      <c r="A176" s="459"/>
      <c r="B176" s="533" t="str">
        <f>Texte!A319</f>
        <v>Satisfaire l’exigence des parts dans la ration </v>
      </c>
      <c r="C176" s="455"/>
      <c r="D176" s="455"/>
      <c r="E176" s="172"/>
      <c r="F176" s="172"/>
      <c r="G176" s="455"/>
      <c r="H176" s="216"/>
      <c r="I176" s="262"/>
      <c r="J176" s="262"/>
      <c r="K176" s="262"/>
      <c r="L176" s="216"/>
      <c r="M176" s="534" t="str">
        <f>IF($U$11=1,IF($W$173="n. io",Texte!$A$322,Texte!$A$321),IF($X$173="n. io",Texte!$A$322,Texte!$A$321))</f>
        <v>non</v>
      </c>
      <c r="O176" s="533" t="str">
        <f>Texte!A336</f>
        <v>Exigence pour vache mère &amp; veau</v>
      </c>
      <c r="P176" s="262"/>
      <c r="Q176" s="262"/>
      <c r="R176" s="767" t="str">
        <f>IF(W190="nein",Texte!$A$340,IF($U$11=1,IF($W$188="n. io",Texte!$A$322,Texte!$A$321),IF($X$188="n. io",Texte!$A$322,Texte!$A$321)))</f>
        <v>non</v>
      </c>
      <c r="V176" s="290"/>
      <c r="W176" s="517"/>
      <c r="X176" s="204"/>
      <c r="Y176" s="418"/>
      <c r="Z176" s="418"/>
      <c r="AA176" s="205"/>
      <c r="AB176" s="449"/>
      <c r="AC176" s="450"/>
      <c r="AD176" s="451"/>
      <c r="AE176" s="451"/>
      <c r="AF176" s="451"/>
      <c r="AG176" s="421"/>
      <c r="AH176" s="421"/>
      <c r="AI176" s="175"/>
      <c r="AJ176" s="175"/>
      <c r="AK176" s="175"/>
      <c r="AL176" s="175"/>
      <c r="AM176" s="175"/>
      <c r="AN176" s="175"/>
      <c r="AO176" s="175"/>
      <c r="AP176" s="175"/>
      <c r="AQ176" s="175"/>
      <c r="AR176" s="175"/>
      <c r="AS176" s="175"/>
    </row>
    <row r="177" spans="1:45" ht="7.5" customHeight="1" thickBot="1">
      <c r="A177" s="459"/>
      <c r="B177" s="535"/>
      <c r="C177" s="536"/>
      <c r="D177" s="536"/>
      <c r="E177" s="184"/>
      <c r="F177" s="184"/>
      <c r="G177" s="536"/>
      <c r="H177" s="537"/>
      <c r="I177" s="538"/>
      <c r="J177" s="538"/>
      <c r="K177" s="538"/>
      <c r="L177" s="537"/>
      <c r="M177" s="466"/>
      <c r="O177" s="535"/>
      <c r="P177" s="538"/>
      <c r="Q177" s="538"/>
      <c r="R177" s="466"/>
      <c r="V177" s="290"/>
      <c r="W177" s="517"/>
      <c r="X177" s="204"/>
      <c r="Y177" s="418"/>
      <c r="Z177" s="418"/>
      <c r="AA177" s="205"/>
      <c r="AB177" s="449"/>
      <c r="AC177" s="450"/>
      <c r="AD177" s="451"/>
      <c r="AE177" s="451"/>
      <c r="AF177" s="451"/>
      <c r="AG177" s="421"/>
      <c r="AH177" s="421"/>
      <c r="AI177" s="175"/>
      <c r="AJ177" s="175"/>
      <c r="AK177" s="175"/>
      <c r="AL177" s="175"/>
      <c r="AM177" s="175"/>
      <c r="AN177" s="175"/>
      <c r="AO177" s="175"/>
      <c r="AP177" s="175"/>
      <c r="AQ177" s="175"/>
      <c r="AR177" s="175"/>
      <c r="AS177" s="175"/>
    </row>
    <row r="178" spans="1:45" ht="12.75" customHeight="1">
      <c r="A178" s="459"/>
      <c r="B178" s="461"/>
      <c r="C178" s="461"/>
      <c r="D178" s="461"/>
      <c r="E178" s="462"/>
      <c r="F178" s="462"/>
      <c r="G178" s="461"/>
      <c r="H178" s="463"/>
      <c r="I178" s="464"/>
      <c r="J178" s="464"/>
      <c r="K178" s="464"/>
      <c r="L178" s="463"/>
      <c r="M178" s="539"/>
      <c r="V178" s="290"/>
      <c r="W178" s="518"/>
      <c r="X178" s="204"/>
      <c r="Y178" s="418"/>
      <c r="Z178" s="418"/>
      <c r="AA178" s="205"/>
      <c r="AB178" s="449"/>
      <c r="AC178" s="450"/>
      <c r="AD178" s="451"/>
      <c r="AE178" s="451"/>
      <c r="AF178" s="451"/>
      <c r="AG178" s="421"/>
      <c r="AH178" s="421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</row>
    <row r="179" spans="1:45" ht="15.75" customHeight="1">
      <c r="A179" s="459"/>
      <c r="C179" s="172"/>
      <c r="D179" s="172"/>
      <c r="E179" s="172"/>
      <c r="F179" s="172"/>
      <c r="G179" s="172"/>
      <c r="H179" s="172"/>
      <c r="I179" s="172"/>
      <c r="J179" s="172"/>
      <c r="K179" s="172"/>
      <c r="L179" s="172"/>
      <c r="O179" s="200" t="str">
        <f>Texte!A339</f>
        <v>bilan autres animaux consom.des f. grossiers</v>
      </c>
      <c r="V179" s="204" t="s">
        <v>86</v>
      </c>
      <c r="W179" s="515">
        <f>IF(M176=Texte!A321,1,2)</f>
        <v>2</v>
      </c>
      <c r="X179" s="204" t="s">
        <v>849</v>
      </c>
      <c r="Y179" s="418"/>
      <c r="Z179" s="418"/>
      <c r="AA179" s="205"/>
      <c r="AB179" s="419"/>
      <c r="AC179" s="206"/>
      <c r="AD179" s="206"/>
      <c r="AE179" s="210"/>
      <c r="AF179" s="169"/>
      <c r="AG179" s="421"/>
      <c r="AH179" s="421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</row>
    <row r="180" spans="1:45" ht="5.25" customHeight="1" thickBot="1">
      <c r="A180" s="467"/>
      <c r="V180" s="204"/>
      <c r="W180" s="515">
        <f>IF(M207=Texte!A321,1,2)</f>
        <v>2</v>
      </c>
      <c r="X180" s="204" t="s">
        <v>850</v>
      </c>
      <c r="Y180" s="418"/>
      <c r="Z180" s="418"/>
      <c r="AA180" s="205"/>
      <c r="AB180" s="419"/>
      <c r="AC180" s="206"/>
      <c r="AD180" s="206"/>
      <c r="AE180" s="210"/>
      <c r="AF180" s="169"/>
      <c r="AG180" s="421"/>
      <c r="AH180" s="421"/>
      <c r="AI180" s="175"/>
      <c r="AJ180" s="175"/>
      <c r="AK180" s="175"/>
      <c r="AL180" s="175"/>
      <c r="AM180" s="175"/>
      <c r="AN180" s="175"/>
      <c r="AO180" s="175"/>
      <c r="AP180" s="175"/>
      <c r="AQ180" s="175"/>
      <c r="AR180" s="175"/>
      <c r="AS180" s="175"/>
    </row>
    <row r="181" spans="2:47" ht="12.75" customHeight="1" thickBot="1">
      <c r="B181" s="468" t="str">
        <f>Texte!A325</f>
        <v>Lieu et date: </v>
      </c>
      <c r="C181" s="67"/>
      <c r="D181" s="68"/>
      <c r="E181" s="68"/>
      <c r="F181" s="68"/>
      <c r="G181" s="68"/>
      <c r="I181" s="469" t="str">
        <f>Texte!A326</f>
        <v>Signature: </v>
      </c>
      <c r="J181" s="67"/>
      <c r="K181" s="68"/>
      <c r="L181" s="68"/>
      <c r="M181" s="68"/>
      <c r="O181" s="447" t="str">
        <f>IF(O164&lt;&gt;F164,(F172-O172)/(F172-O172)*100,"0")</f>
        <v>0</v>
      </c>
      <c r="P181" s="447" t="str">
        <f>IF(O164&lt;&gt;F164,(H172-P172)/(F172-O172)*100,"0")</f>
        <v>0</v>
      </c>
      <c r="Q181" s="447" t="str">
        <f>IF(O164&lt;&gt;F164,(J172-Q172)/(F172-O172)*100,"0")</f>
        <v>0</v>
      </c>
      <c r="R181" s="447" t="str">
        <f>IF(O164&lt;&gt;F164,(L172-R172)/(F172-O172)*100,"0")</f>
        <v>0</v>
      </c>
      <c r="V181" s="204"/>
      <c r="W181" s="515">
        <f>IF(R176=Texte!A321,1,2)</f>
        <v>2</v>
      </c>
      <c r="X181" s="204" t="s">
        <v>472</v>
      </c>
      <c r="Y181" s="204"/>
      <c r="Z181" s="204"/>
      <c r="AA181" s="204"/>
      <c r="AB181" s="449"/>
      <c r="AI181" s="421"/>
      <c r="AJ181" s="421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</row>
    <row r="182" spans="15:47" ht="12.75" customHeight="1">
      <c r="O182" s="169" t="str">
        <f>IF(O164&lt;&gt;F164,(F172-O172),"0")</f>
        <v>0</v>
      </c>
      <c r="P182" s="169" t="str">
        <f>IF(O164&lt;&gt;F164,(H172-P172),"0")</f>
        <v>0</v>
      </c>
      <c r="Q182" s="169" t="str">
        <f>IF(O164&lt;&gt;F164,(J172-Q172),"0")</f>
        <v>0</v>
      </c>
      <c r="R182" s="169" t="str">
        <f>IF(O164&lt;&gt;F164,(L172-R172),"0")</f>
        <v>0</v>
      </c>
      <c r="AA182" s="166"/>
      <c r="AB182" s="470"/>
      <c r="AI182" s="421"/>
      <c r="AJ182" s="421"/>
      <c r="AK182" s="175"/>
      <c r="AL182" s="175"/>
      <c r="AM182" s="175"/>
      <c r="AN182" s="175"/>
      <c r="AO182" s="175"/>
      <c r="AP182" s="175"/>
      <c r="AQ182" s="175"/>
      <c r="AR182" s="175"/>
      <c r="AS182" s="175"/>
      <c r="AT182" s="175"/>
      <c r="AU182" s="175"/>
    </row>
    <row r="183" spans="2:47" ht="11.25" customHeight="1">
      <c r="B183" s="471" t="str">
        <f>Texte!A324</f>
        <v>Cet instrument sert à prouver que les exigences du bilan fourrager sont remplies pour le programme PLVH.</v>
      </c>
      <c r="O183" s="169">
        <f>O182+O172</f>
        <v>0</v>
      </c>
      <c r="P183" s="169">
        <f>P182+P172</f>
        <v>0</v>
      </c>
      <c r="Q183" s="169">
        <f>Q182+Q172</f>
        <v>0</v>
      </c>
      <c r="R183" s="169">
        <f>R182+R172</f>
        <v>0</v>
      </c>
      <c r="V183" s="418" t="s">
        <v>431</v>
      </c>
      <c r="W183" s="290" t="s">
        <v>206</v>
      </c>
      <c r="X183" s="204" t="s">
        <v>207</v>
      </c>
      <c r="AK183" s="175"/>
      <c r="AL183" s="175"/>
      <c r="AM183" s="175"/>
      <c r="AN183" s="175"/>
      <c r="AO183" s="175"/>
      <c r="AP183" s="175"/>
      <c r="AQ183" s="175"/>
      <c r="AR183" s="175"/>
      <c r="AS183" s="175"/>
      <c r="AT183" s="175"/>
      <c r="AU183" s="175"/>
    </row>
    <row r="184" spans="22:47" ht="11.25" customHeight="1">
      <c r="V184" s="418"/>
      <c r="W184" s="290"/>
      <c r="X184" s="204"/>
      <c r="AA184" s="166"/>
      <c r="AK184" s="175"/>
      <c r="AL184" s="175"/>
      <c r="AM184" s="175"/>
      <c r="AN184" s="175"/>
      <c r="AO184" s="175"/>
      <c r="AP184" s="175"/>
      <c r="AQ184" s="175"/>
      <c r="AR184" s="175"/>
      <c r="AS184" s="175"/>
      <c r="AT184" s="175"/>
      <c r="AU184" s="175"/>
    </row>
    <row r="185" spans="2:47" ht="12.75">
      <c r="B185" s="494"/>
      <c r="V185" s="418" t="s">
        <v>847</v>
      </c>
      <c r="W185" s="515" t="str">
        <f>IF(AND($U$11=1,P173&gt;=$W$160),"ok","nein")</f>
        <v>nein</v>
      </c>
      <c r="X185" s="515" t="str">
        <f>IF(AND($U$11=2,$P$173&gt;=$X$160),"ok","nein")</f>
        <v>nein</v>
      </c>
      <c r="AK185" s="175"/>
      <c r="AL185" s="175"/>
      <c r="AM185" s="175"/>
      <c r="AN185" s="175"/>
      <c r="AO185" s="175"/>
      <c r="AP185" s="175"/>
      <c r="AQ185" s="175"/>
      <c r="AR185" s="175"/>
      <c r="AS185" s="175"/>
      <c r="AT185" s="175"/>
      <c r="AU185" s="175"/>
    </row>
    <row r="186" spans="22:47" ht="12.75">
      <c r="V186" s="418" t="s">
        <v>83</v>
      </c>
      <c r="W186" s="515" t="str">
        <f>IF(AND($U$11=1,$P$173+$Q$173&gt;=$W$163,$P$173&gt;=$W$160),"ok","nein")</f>
        <v>nein</v>
      </c>
      <c r="X186" s="515" t="str">
        <f>IF(AND($U$11=2,$P$173+$Q$173&gt;=$X$163,$P$173&gt;=$X$160),"ok","nein")</f>
        <v>nein</v>
      </c>
      <c r="AK186" s="175"/>
      <c r="AL186" s="175"/>
      <c r="AM186" s="175"/>
      <c r="AN186" s="175"/>
      <c r="AO186" s="175"/>
      <c r="AP186" s="175"/>
      <c r="AQ186" s="175"/>
      <c r="AR186" s="175"/>
      <c r="AS186" s="175"/>
      <c r="AT186" s="175"/>
      <c r="AU186" s="175"/>
    </row>
    <row r="187" spans="2:47" ht="15.75">
      <c r="B187" s="586" t="str">
        <f>Texte!A364</f>
        <v>Informations complémentaires</v>
      </c>
      <c r="V187" s="418" t="s">
        <v>209</v>
      </c>
      <c r="W187" s="515" t="str">
        <f>IF(AND($U$11=1,$R$173&lt;=$W$162),"ok","nein")</f>
        <v>nein</v>
      </c>
      <c r="X187" s="515" t="str">
        <f>IF(AND($U$11=2,$R$173&lt;=$X$162),"ok","nein")</f>
        <v>nein</v>
      </c>
      <c r="AK187" s="175"/>
      <c r="AL187" s="175"/>
      <c r="AM187" s="175"/>
      <c r="AN187" s="175"/>
      <c r="AO187" s="175"/>
      <c r="AP187" s="175"/>
      <c r="AQ187" s="175"/>
      <c r="AR187" s="175"/>
      <c r="AS187" s="175"/>
      <c r="AT187" s="175"/>
      <c r="AU187" s="175"/>
    </row>
    <row r="188" spans="2:47" ht="7.5" customHeight="1">
      <c r="B188" s="586"/>
      <c r="V188" s="418" t="s">
        <v>846</v>
      </c>
      <c r="W188" s="515" t="str">
        <f>IF(AND($W$185="ok",$W$186="ok",$W$187="ok"),"io","n. io")</f>
        <v>n. io</v>
      </c>
      <c r="X188" s="515" t="str">
        <f>IF(AND($X$185="ok",$X$186="ok",$X$187="ok"),"io","n. io")</f>
        <v>n. io</v>
      </c>
      <c r="AK188" s="175"/>
      <c r="AL188" s="175"/>
      <c r="AM188" s="175"/>
      <c r="AN188" s="175"/>
      <c r="AO188" s="175"/>
      <c r="AP188" s="175"/>
      <c r="AQ188" s="175"/>
      <c r="AR188" s="175"/>
      <c r="AS188" s="175"/>
      <c r="AT188" s="175"/>
      <c r="AU188" s="175"/>
    </row>
    <row r="189" spans="2:47" ht="12.75" customHeight="1">
      <c r="B189" s="587" t="str">
        <f>Texte!A365</f>
        <v>Le calcul de la charge effective en bétail pour le bilan fourrager 2016 s’appuie sur les effectifs déterminants</v>
      </c>
      <c r="AK189" s="175"/>
      <c r="AL189" s="175"/>
      <c r="AM189" s="175"/>
      <c r="AN189" s="175"/>
      <c r="AO189" s="175"/>
      <c r="AP189" s="175"/>
      <c r="AQ189" s="175"/>
      <c r="AR189" s="175"/>
      <c r="AS189" s="175"/>
      <c r="AT189" s="175"/>
      <c r="AU189" s="175"/>
    </row>
    <row r="190" spans="2:47" ht="12.75" customHeight="1">
      <c r="B190" s="587" t="str">
        <f>Texte!A366</f>
        <v>d’animaux pour la période 1.1.2016 – 31.12.2016. Comme ces derniers ne sont pas encore connus, le montant</v>
      </c>
      <c r="V190" s="204" t="s">
        <v>1141</v>
      </c>
      <c r="W190" s="204" t="str">
        <f>IF(AND(V103=0,V146=0),"ja","nein")</f>
        <v>ja</v>
      </c>
      <c r="AK190" s="175"/>
      <c r="AL190" s="175"/>
      <c r="AM190" s="175"/>
      <c r="AN190" s="175"/>
      <c r="AO190" s="175"/>
      <c r="AP190" s="175"/>
      <c r="AQ190" s="175"/>
      <c r="AR190" s="175"/>
      <c r="AS190" s="175"/>
      <c r="AT190" s="175"/>
      <c r="AU190" s="175"/>
    </row>
    <row r="191" spans="2:47" ht="12.75" customHeight="1">
      <c r="B191" s="587" t="str">
        <f>Texte!A367</f>
        <v>des contributions PLVH est à considérer comme une estimation.  </v>
      </c>
      <c r="AK191" s="175"/>
      <c r="AL191" s="175"/>
      <c r="AM191" s="175"/>
      <c r="AN191" s="175"/>
      <c r="AO191" s="175"/>
      <c r="AP191" s="175"/>
      <c r="AQ191" s="175"/>
      <c r="AR191" s="175"/>
      <c r="AS191" s="175"/>
      <c r="AT191" s="175"/>
      <c r="AU191" s="175"/>
    </row>
    <row r="192" spans="2:47" ht="12.75" customHeight="1">
      <c r="B192" s="586"/>
      <c r="AK192" s="175"/>
      <c r="AL192" s="175"/>
      <c r="AM192" s="175"/>
      <c r="AN192" s="175"/>
      <c r="AO192" s="175"/>
      <c r="AP192" s="175"/>
      <c r="AQ192" s="175"/>
      <c r="AR192" s="175"/>
      <c r="AS192" s="175"/>
      <c r="AT192" s="175"/>
      <c r="AU192" s="175"/>
    </row>
    <row r="193" spans="2:47" ht="12.75" customHeight="1">
      <c r="B193" s="661" t="str">
        <f>Texte!A224</f>
        <v>Indication de charge minimale en bétail</v>
      </c>
      <c r="C193" s="343"/>
      <c r="AK193" s="175"/>
      <c r="AL193" s="175"/>
      <c r="AM193" s="175"/>
      <c r="AN193" s="175"/>
      <c r="AO193" s="175"/>
      <c r="AP193" s="175"/>
      <c r="AQ193" s="175"/>
      <c r="AR193" s="175"/>
      <c r="AS193" s="175"/>
      <c r="AT193" s="175"/>
      <c r="AU193" s="175"/>
    </row>
    <row r="194" spans="2:47" ht="12.75" customHeight="1">
      <c r="B194" s="661"/>
      <c r="C194" s="664" t="str">
        <f>Texte!A226</f>
        <v>surf. herb. permanentes</v>
      </c>
      <c r="D194" s="588"/>
      <c r="E194" s="588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</row>
    <row r="195" spans="2:47" ht="12.75" customHeight="1">
      <c r="B195" s="661"/>
      <c r="C195" s="664" t="str">
        <f>Texte!A227</f>
        <v>prairies temporaires</v>
      </c>
      <c r="E195" s="665" t="str">
        <f>Texte!A228</f>
        <v>SPB</v>
      </c>
      <c r="AK195" s="175"/>
      <c r="AL195" s="175"/>
      <c r="AM195" s="175"/>
      <c r="AN195" s="175"/>
      <c r="AO195" s="175"/>
      <c r="AP195" s="175"/>
      <c r="AQ195" s="175"/>
      <c r="AR195" s="175"/>
      <c r="AS195" s="175"/>
      <c r="AT195" s="175"/>
      <c r="AU195" s="175"/>
    </row>
    <row r="196" spans="2:47" ht="12.75" customHeight="1">
      <c r="B196" s="586"/>
      <c r="C196" s="666" t="s">
        <v>1202</v>
      </c>
      <c r="E196" s="665" t="s">
        <v>1202</v>
      </c>
      <c r="AK196" s="175"/>
      <c r="AL196" s="175"/>
      <c r="AM196" s="175"/>
      <c r="AN196" s="175"/>
      <c r="AO196" s="175"/>
      <c r="AP196" s="175"/>
      <c r="AQ196" s="175"/>
      <c r="AR196" s="175"/>
      <c r="AS196" s="175"/>
      <c r="AT196" s="175"/>
      <c r="AU196" s="175"/>
    </row>
    <row r="197" spans="2:47" ht="12.75" customHeight="1">
      <c r="B197" s="662" t="str">
        <f>Texte!A229</f>
        <v>Zones de plaine</v>
      </c>
      <c r="C197" s="655"/>
      <c r="D197" s="667"/>
      <c r="E197" s="658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</row>
    <row r="198" spans="2:47" ht="12.75" customHeight="1">
      <c r="B198" s="662" t="str">
        <f>Texte!A230</f>
        <v>Zone des collines</v>
      </c>
      <c r="C198" s="656"/>
      <c r="D198" s="667"/>
      <c r="E198" s="659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</row>
    <row r="199" spans="2:47" ht="12.75" customHeight="1">
      <c r="B199" s="662" t="str">
        <f>Texte!A231</f>
        <v>Zone montagne 1</v>
      </c>
      <c r="C199" s="656"/>
      <c r="D199" s="667"/>
      <c r="E199" s="659"/>
      <c r="AK199" s="175"/>
      <c r="AL199" s="175"/>
      <c r="AM199" s="175"/>
      <c r="AN199" s="175"/>
      <c r="AO199" s="175"/>
      <c r="AP199" s="175"/>
      <c r="AQ199" s="175"/>
      <c r="AR199" s="175"/>
      <c r="AS199" s="175"/>
      <c r="AT199" s="175"/>
      <c r="AU199" s="175"/>
    </row>
    <row r="200" spans="2:47" ht="12.75" customHeight="1">
      <c r="B200" s="662" t="str">
        <f>Texte!A232</f>
        <v>Zone montagne 2</v>
      </c>
      <c r="C200" s="656"/>
      <c r="D200" s="667"/>
      <c r="E200" s="659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</row>
    <row r="201" spans="2:47" ht="12.75" customHeight="1">
      <c r="B201" s="662" t="str">
        <f>Texte!A233</f>
        <v>Zone montagne 3</v>
      </c>
      <c r="C201" s="656"/>
      <c r="D201" s="667"/>
      <c r="E201" s="659"/>
      <c r="AK201" s="175"/>
      <c r="AL201" s="175"/>
      <c r="AM201" s="175"/>
      <c r="AN201" s="175"/>
      <c r="AO201" s="175"/>
      <c r="AP201" s="175"/>
      <c r="AQ201" s="175"/>
      <c r="AR201" s="175"/>
      <c r="AS201" s="175"/>
      <c r="AT201" s="175"/>
      <c r="AU201" s="175"/>
    </row>
    <row r="202" spans="2:47" ht="12.75" customHeight="1">
      <c r="B202" s="662" t="str">
        <f>Texte!A234</f>
        <v>Zone montagne 4</v>
      </c>
      <c r="C202" s="656"/>
      <c r="D202" s="667"/>
      <c r="E202" s="659"/>
      <c r="AK202" s="175"/>
      <c r="AL202" s="175"/>
      <c r="AM202" s="175"/>
      <c r="AN202" s="175"/>
      <c r="AO202" s="175"/>
      <c r="AP202" s="175"/>
      <c r="AQ202" s="175"/>
      <c r="AR202" s="175"/>
      <c r="AS202" s="175"/>
      <c r="AT202" s="175"/>
      <c r="AU202" s="175"/>
    </row>
    <row r="203" spans="2:47" ht="12.75">
      <c r="B203" s="662" t="str">
        <f>Texte!A235</f>
        <v>surfaces à l'étranger</v>
      </c>
      <c r="C203" s="657"/>
      <c r="D203" s="668"/>
      <c r="E203" s="660"/>
      <c r="AK203" s="175"/>
      <c r="AL203" s="175"/>
      <c r="AM203" s="175"/>
      <c r="AN203" s="175"/>
      <c r="AO203" s="175"/>
      <c r="AP203" s="175"/>
      <c r="AQ203" s="175"/>
      <c r="AR203" s="175"/>
      <c r="AS203" s="175"/>
      <c r="AT203" s="175"/>
      <c r="AU203" s="175"/>
    </row>
    <row r="204" spans="2:47" ht="12.75">
      <c r="B204" s="663" t="s">
        <v>299</v>
      </c>
      <c r="C204" s="552">
        <f>SUM(C197:E203)</f>
        <v>0</v>
      </c>
      <c r="D204" s="669"/>
      <c r="E204" s="553"/>
      <c r="L204" s="459"/>
      <c r="AK204" s="175"/>
      <c r="AL204" s="175"/>
      <c r="AM204" s="175"/>
      <c r="AN204" s="175"/>
      <c r="AO204" s="175"/>
      <c r="AP204" s="175"/>
      <c r="AQ204" s="175"/>
      <c r="AR204" s="175"/>
      <c r="AS204" s="175"/>
      <c r="AT204" s="175"/>
      <c r="AU204" s="175"/>
    </row>
    <row r="205" spans="2:47" ht="7.5" customHeight="1">
      <c r="B205" s="587"/>
      <c r="AK205" s="175"/>
      <c r="AL205" s="175"/>
      <c r="AM205" s="175"/>
      <c r="AN205" s="175"/>
      <c r="AO205" s="175"/>
      <c r="AP205" s="175"/>
      <c r="AQ205" s="175"/>
      <c r="AR205" s="175"/>
      <c r="AS205" s="175"/>
      <c r="AT205" s="175"/>
      <c r="AU205" s="175"/>
    </row>
    <row r="206" spans="2:47" ht="7.5" customHeight="1">
      <c r="B206" s="587"/>
      <c r="AK206" s="175"/>
      <c r="AL206" s="175"/>
      <c r="AM206" s="175"/>
      <c r="AN206" s="175"/>
      <c r="AO206" s="175"/>
      <c r="AP206" s="175"/>
      <c r="AQ206" s="175"/>
      <c r="AR206" s="175"/>
      <c r="AS206" s="175"/>
      <c r="AT206" s="175"/>
      <c r="AU206" s="175"/>
    </row>
    <row r="207" spans="2:47" ht="12.75">
      <c r="B207" s="587" t="str">
        <f>Texte!A320</f>
        <v>Charge minimale en bétail exigée pour obtenir 100 % des contributions PLVH (UGBFG/ha herb.) </v>
      </c>
      <c r="M207" s="583">
        <f>$AD$170</f>
      </c>
      <c r="AK207" s="175"/>
      <c r="AL207" s="175"/>
      <c r="AM207" s="175"/>
      <c r="AN207" s="175"/>
      <c r="AO207" s="175"/>
      <c r="AP207" s="175"/>
      <c r="AQ207" s="175"/>
      <c r="AR207" s="175"/>
      <c r="AS207" s="175"/>
      <c r="AT207" s="175"/>
      <c r="AU207" s="175"/>
    </row>
    <row r="208" spans="2:47" ht="12.75">
      <c r="B208" s="589" t="str">
        <f>Texte!A368</f>
        <v>UGBFG totaux de l'exploitation</v>
      </c>
      <c r="D208" s="627"/>
      <c r="E208" s="579"/>
      <c r="L208" s="590" t="str">
        <f>Texte!A369</f>
        <v>Charge en bétail effective (UGBFG/ha herb.)</v>
      </c>
      <c r="M208" s="583">
        <f>IF($J$113="","",IF($E$208&lt;=0,"",$E$208/$J$113))</f>
      </c>
      <c r="AK208" s="175"/>
      <c r="AL208" s="175"/>
      <c r="AM208" s="175"/>
      <c r="AN208" s="175"/>
      <c r="AO208" s="175"/>
      <c r="AP208" s="175"/>
      <c r="AQ208" s="175"/>
      <c r="AR208" s="175"/>
      <c r="AS208" s="175"/>
      <c r="AT208" s="175"/>
      <c r="AU208" s="175"/>
    </row>
    <row r="209" spans="2:47" ht="12.75">
      <c r="B209" s="588"/>
      <c r="L209" s="591"/>
      <c r="M209" s="350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</row>
    <row r="210" spans="2:47" ht="12.75">
      <c r="B210" s="589" t="str">
        <f>Texte!A370</f>
        <v>Exigence de la part … dans la ration satisfaite </v>
      </c>
      <c r="L210" s="590" t="str">
        <f>Texte!A374</f>
        <v>Exigence de la charge min. pour</v>
      </c>
      <c r="M210" s="582">
        <f>IF(AND($W$173="n. io",$X$173="n. io",$M$207=""),"",MIN($M$208/$M$207*100,100))</f>
      </c>
      <c r="N210" s="589" t="str">
        <f>Texte!A375</f>
        <v>% des contributions PLVH </v>
      </c>
      <c r="AK210" s="175"/>
      <c r="AL210" s="175"/>
      <c r="AM210" s="175"/>
      <c r="AN210" s="175"/>
      <c r="AO210" s="175"/>
      <c r="AP210" s="175"/>
      <c r="AQ210" s="175"/>
      <c r="AR210" s="175"/>
      <c r="AS210" s="175"/>
      <c r="AT210" s="175"/>
      <c r="AU210" s="175"/>
    </row>
    <row r="211" spans="2:47" ht="12.75">
      <c r="B211" s="588" t="str">
        <f>Texte!A371</f>
        <v>  - fourrages prairies et pâturages</v>
      </c>
      <c r="E211" s="576">
        <f>IF($U$11="","",IF(AND($U$11=1,$W$170="nein"),Texte!A$380,IF(AND($U$11=2,$X$170="nein"),Texte!A$380,Texte!A$381)))</f>
      </c>
      <c r="L211" s="590" t="str">
        <f>Texte!A376</f>
        <v>qui correspond à</v>
      </c>
      <c r="M211" s="592">
        <f>IF(OR($W$173="io",$X$173="io"),$M$210/100*200*$J$113,"")</f>
      </c>
      <c r="N211" s="589" t="s">
        <v>1015</v>
      </c>
      <c r="AK211" s="175"/>
      <c r="AL211" s="175"/>
      <c r="AM211" s="175"/>
      <c r="AN211" s="175"/>
      <c r="AO211" s="175"/>
      <c r="AP211" s="175"/>
      <c r="AQ211" s="175"/>
      <c r="AR211" s="175"/>
      <c r="AS211" s="175"/>
      <c r="AT211" s="175"/>
      <c r="AU211" s="175"/>
    </row>
    <row r="212" spans="2:47" ht="12.75">
      <c r="B212" s="588" t="str">
        <f>Texte!A372</f>
        <v>  - autres fourrages</v>
      </c>
      <c r="E212" s="577">
        <f>IF($U$11="","",IF(AND($U$11=1,$W$171="nein"),Texte!A$380,IF(AND($U$11=2,$X$171="nein"),Texte!A$380,Texte!A$381)))</f>
      </c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</row>
    <row r="213" spans="2:47" ht="12.75">
      <c r="B213" s="588" t="str">
        <f>Texte!A373</f>
        <v>  - concentrés</v>
      </c>
      <c r="E213" s="578">
        <f>IF($U$11="","",IF(AND($U$11=1,$W$172="nein"),Texte!A$380,IF(AND($U$11=2,$X$172="nein"),Texte!A$380,Texte!A$381)))</f>
      </c>
      <c r="L213" s="590" t="str">
        <f>IF(AND($W$173="n. io",$X$173="n. io"),Texte!A384,IF($E$208&lt;=0,Texte!A382,Texte!A377))</f>
        <v>Vous n'obtenez AUCUNE contribution</v>
      </c>
      <c r="M213" s="581">
        <f>IF(OR(AND($W$173="n. io",$X$173="n. io"),$E$208&lt;=0),"",IF(ROUND($M$210,0)=100,Texte!A379,Texte!A378))</f>
      </c>
      <c r="AK213" s="175"/>
      <c r="AL213" s="175"/>
      <c r="AM213" s="175"/>
      <c r="AN213" s="175"/>
      <c r="AO213" s="175"/>
      <c r="AP213" s="175"/>
      <c r="AQ213" s="175"/>
      <c r="AR213" s="175"/>
      <c r="AS213" s="175"/>
      <c r="AT213" s="175"/>
      <c r="AU213" s="175"/>
    </row>
    <row r="214" spans="12:47" ht="12.75">
      <c r="L214" s="584">
        <f>IF(AND(OR($W$173="io",$X$173="io"),$E$208&lt;=0),Texte!A383,"")</f>
      </c>
      <c r="AK214" s="175"/>
      <c r="AL214" s="175"/>
      <c r="AM214" s="175"/>
      <c r="AN214" s="175"/>
      <c r="AO214" s="175"/>
      <c r="AP214" s="175"/>
      <c r="AQ214" s="175"/>
      <c r="AR214" s="175"/>
      <c r="AS214" s="175"/>
      <c r="AT214" s="175"/>
      <c r="AU214" s="175"/>
    </row>
    <row r="215" spans="37:47" ht="12.75">
      <c r="AK215" s="175"/>
      <c r="AL215" s="175"/>
      <c r="AM215" s="175"/>
      <c r="AN215" s="175"/>
      <c r="AO215" s="175"/>
      <c r="AP215" s="175"/>
      <c r="AQ215" s="175"/>
      <c r="AR215" s="175"/>
      <c r="AS215" s="175"/>
      <c r="AT215" s="175"/>
      <c r="AU215" s="175"/>
    </row>
    <row r="216" spans="37:47" ht="12.75">
      <c r="AK216" s="175"/>
      <c r="AL216" s="175"/>
      <c r="AM216" s="175"/>
      <c r="AN216" s="175"/>
      <c r="AO216" s="175"/>
      <c r="AP216" s="175"/>
      <c r="AQ216" s="175"/>
      <c r="AR216" s="175"/>
      <c r="AS216" s="175"/>
      <c r="AT216" s="175"/>
      <c r="AU216" s="175"/>
    </row>
    <row r="217" spans="37:47" ht="12.75">
      <c r="AK217" s="175"/>
      <c r="AL217" s="175"/>
      <c r="AM217" s="175"/>
      <c r="AN217" s="175"/>
      <c r="AO217" s="175"/>
      <c r="AP217" s="175"/>
      <c r="AQ217" s="175"/>
      <c r="AR217" s="175"/>
      <c r="AS217" s="175"/>
      <c r="AT217" s="175"/>
      <c r="AU217" s="175"/>
    </row>
    <row r="218" spans="37:47" ht="12.75">
      <c r="AK218" s="175"/>
      <c r="AL218" s="175"/>
      <c r="AM218" s="175"/>
      <c r="AN218" s="175"/>
      <c r="AO218" s="175"/>
      <c r="AP218" s="175"/>
      <c r="AQ218" s="175"/>
      <c r="AR218" s="175"/>
      <c r="AS218" s="175"/>
      <c r="AT218" s="175"/>
      <c r="AU218" s="175"/>
    </row>
    <row r="219" spans="37:47" ht="12.75">
      <c r="AK219" s="175"/>
      <c r="AL219" s="175"/>
      <c r="AM219" s="175"/>
      <c r="AN219" s="175"/>
      <c r="AO219" s="175"/>
      <c r="AP219" s="175"/>
      <c r="AQ219" s="175"/>
      <c r="AR219" s="175"/>
      <c r="AS219" s="175"/>
      <c r="AT219" s="175"/>
      <c r="AU219" s="175"/>
    </row>
    <row r="220" spans="37:47" ht="12.75">
      <c r="AK220" s="175"/>
      <c r="AL220" s="175"/>
      <c r="AM220" s="175"/>
      <c r="AN220" s="175"/>
      <c r="AO220" s="175"/>
      <c r="AP220" s="175"/>
      <c r="AQ220" s="175"/>
      <c r="AR220" s="175"/>
      <c r="AS220" s="175"/>
      <c r="AT220" s="175"/>
      <c r="AU220" s="175"/>
    </row>
    <row r="221" spans="37:47" ht="12.75">
      <c r="AK221" s="175"/>
      <c r="AL221" s="175"/>
      <c r="AM221" s="175"/>
      <c r="AN221" s="175"/>
      <c r="AO221" s="175"/>
      <c r="AP221" s="175"/>
      <c r="AQ221" s="175"/>
      <c r="AR221" s="175"/>
      <c r="AS221" s="175"/>
      <c r="AT221" s="175"/>
      <c r="AU221" s="175"/>
    </row>
    <row r="222" spans="37:47" ht="12.75">
      <c r="AK222" s="175"/>
      <c r="AL222" s="175"/>
      <c r="AM222" s="175"/>
      <c r="AN222" s="175"/>
      <c r="AO222" s="175"/>
      <c r="AP222" s="175"/>
      <c r="AQ222" s="175"/>
      <c r="AR222" s="175"/>
      <c r="AS222" s="175"/>
      <c r="AT222" s="175"/>
      <c r="AU222" s="175"/>
    </row>
    <row r="223" spans="37:47" ht="12.75">
      <c r="AK223" s="175"/>
      <c r="AL223" s="175"/>
      <c r="AM223" s="175"/>
      <c r="AN223" s="175"/>
      <c r="AO223" s="175"/>
      <c r="AP223" s="175"/>
      <c r="AQ223" s="175"/>
      <c r="AR223" s="175"/>
      <c r="AS223" s="175"/>
      <c r="AT223" s="175"/>
      <c r="AU223" s="175"/>
    </row>
    <row r="224" spans="37:47" ht="12.75">
      <c r="AK224" s="175"/>
      <c r="AL224" s="175"/>
      <c r="AM224" s="175"/>
      <c r="AN224" s="175"/>
      <c r="AO224" s="175"/>
      <c r="AP224" s="175"/>
      <c r="AQ224" s="175"/>
      <c r="AR224" s="175"/>
      <c r="AS224" s="175"/>
      <c r="AT224" s="175"/>
      <c r="AU224" s="175"/>
    </row>
    <row r="225" spans="37:47" ht="12.75">
      <c r="AK225" s="175"/>
      <c r="AL225" s="175"/>
      <c r="AM225" s="175"/>
      <c r="AN225" s="175"/>
      <c r="AO225" s="175"/>
      <c r="AP225" s="175"/>
      <c r="AQ225" s="175"/>
      <c r="AR225" s="175"/>
      <c r="AS225" s="175"/>
      <c r="AT225" s="175"/>
      <c r="AU225" s="175"/>
    </row>
    <row r="226" spans="37:47" ht="12.75">
      <c r="AK226" s="175"/>
      <c r="AL226" s="175"/>
      <c r="AM226" s="175"/>
      <c r="AN226" s="175"/>
      <c r="AO226" s="175"/>
      <c r="AP226" s="175"/>
      <c r="AQ226" s="175"/>
      <c r="AR226" s="175"/>
      <c r="AS226" s="175"/>
      <c r="AT226" s="175"/>
      <c r="AU226" s="175"/>
    </row>
    <row r="227" spans="37:47" ht="12.75">
      <c r="AK227" s="175"/>
      <c r="AL227" s="175"/>
      <c r="AM227" s="175"/>
      <c r="AN227" s="175"/>
      <c r="AO227" s="175"/>
      <c r="AP227" s="175"/>
      <c r="AQ227" s="175"/>
      <c r="AR227" s="175"/>
      <c r="AS227" s="175"/>
      <c r="AT227" s="175"/>
      <c r="AU227" s="175"/>
    </row>
    <row r="228" spans="37:47" ht="12.75">
      <c r="AK228" s="175"/>
      <c r="AL228" s="175"/>
      <c r="AM228" s="175"/>
      <c r="AN228" s="175"/>
      <c r="AO228" s="175"/>
      <c r="AP228" s="175"/>
      <c r="AQ228" s="175"/>
      <c r="AR228" s="175"/>
      <c r="AS228" s="175"/>
      <c r="AT228" s="175"/>
      <c r="AU228" s="175"/>
    </row>
    <row r="229" spans="37:47" ht="12.75">
      <c r="AK229" s="175"/>
      <c r="AL229" s="175"/>
      <c r="AM229" s="175"/>
      <c r="AN229" s="175"/>
      <c r="AO229" s="175"/>
      <c r="AP229" s="175"/>
      <c r="AQ229" s="175"/>
      <c r="AR229" s="175"/>
      <c r="AS229" s="175"/>
      <c r="AT229" s="175"/>
      <c r="AU229" s="175"/>
    </row>
    <row r="230" spans="37:47" ht="12.75">
      <c r="AK230" s="175"/>
      <c r="AL230" s="175"/>
      <c r="AM230" s="175"/>
      <c r="AN230" s="175"/>
      <c r="AO230" s="175"/>
      <c r="AP230" s="175"/>
      <c r="AQ230" s="175"/>
      <c r="AR230" s="175"/>
      <c r="AS230" s="175"/>
      <c r="AT230" s="175"/>
      <c r="AU230" s="175"/>
    </row>
    <row r="231" spans="2:47" ht="12.75">
      <c r="B231" s="169"/>
      <c r="C231" s="169"/>
      <c r="D231" s="169"/>
      <c r="E231" s="169"/>
      <c r="F231" s="169"/>
      <c r="G231" s="169"/>
      <c r="H231" s="169"/>
      <c r="I231" s="169"/>
      <c r="AK231" s="175"/>
      <c r="AL231" s="175"/>
      <c r="AM231" s="175"/>
      <c r="AN231" s="175"/>
      <c r="AO231" s="175"/>
      <c r="AP231" s="175"/>
      <c r="AQ231" s="175"/>
      <c r="AR231" s="175"/>
      <c r="AS231" s="175"/>
      <c r="AT231" s="175"/>
      <c r="AU231" s="175"/>
    </row>
    <row r="232" spans="2:47" ht="12.75">
      <c r="B232" s="169"/>
      <c r="C232" s="169"/>
      <c r="D232" s="169"/>
      <c r="E232" s="169"/>
      <c r="F232" s="169"/>
      <c r="G232" s="169"/>
      <c r="H232" s="169"/>
      <c r="I232" s="169"/>
      <c r="AK232" s="175"/>
      <c r="AL232" s="175"/>
      <c r="AM232" s="175"/>
      <c r="AN232" s="175"/>
      <c r="AO232" s="175"/>
      <c r="AP232" s="175"/>
      <c r="AQ232" s="175"/>
      <c r="AR232" s="175"/>
      <c r="AS232" s="175"/>
      <c r="AT232" s="175"/>
      <c r="AU232" s="175"/>
    </row>
    <row r="233" spans="1:47" ht="12.75">
      <c r="A233" s="169" t="s">
        <v>310</v>
      </c>
      <c r="B233" s="169"/>
      <c r="C233" s="169"/>
      <c r="D233" s="169"/>
      <c r="E233" s="169"/>
      <c r="F233" s="169"/>
      <c r="G233" s="169"/>
      <c r="H233" s="169"/>
      <c r="I233" s="169"/>
      <c r="AK233" s="175"/>
      <c r="AL233" s="175"/>
      <c r="AM233" s="175"/>
      <c r="AN233" s="175"/>
      <c r="AO233" s="175"/>
      <c r="AP233" s="175"/>
      <c r="AQ233" s="175"/>
      <c r="AR233" s="175"/>
      <c r="AS233" s="175"/>
      <c r="AT233" s="175"/>
      <c r="AU233" s="175"/>
    </row>
    <row r="234" spans="1:47" ht="12.75">
      <c r="A234" s="169" t="s">
        <v>311</v>
      </c>
      <c r="B234" s="169"/>
      <c r="C234" s="169"/>
      <c r="D234" s="169"/>
      <c r="E234" s="169"/>
      <c r="F234" s="169"/>
      <c r="G234" s="169"/>
      <c r="H234" s="169"/>
      <c r="I234" s="169"/>
      <c r="AK234" s="175"/>
      <c r="AL234" s="175"/>
      <c r="AM234" s="175"/>
      <c r="AN234" s="175"/>
      <c r="AO234" s="175"/>
      <c r="AP234" s="175"/>
      <c r="AQ234" s="175"/>
      <c r="AR234" s="175"/>
      <c r="AS234" s="175"/>
      <c r="AT234" s="175"/>
      <c r="AU234" s="175"/>
    </row>
    <row r="235" spans="1:47" ht="12.75">
      <c r="A235" s="169"/>
      <c r="B235" s="169"/>
      <c r="C235" s="169"/>
      <c r="D235" s="169"/>
      <c r="E235" s="169"/>
      <c r="F235" s="169"/>
      <c r="G235" s="169"/>
      <c r="H235" s="169"/>
      <c r="I235" s="169"/>
      <c r="AK235" s="175"/>
      <c r="AL235" s="175"/>
      <c r="AM235" s="175"/>
      <c r="AN235" s="175"/>
      <c r="AO235" s="175"/>
      <c r="AP235" s="175"/>
      <c r="AQ235" s="175"/>
      <c r="AR235" s="175"/>
      <c r="AS235" s="175"/>
      <c r="AT235" s="175"/>
      <c r="AU235" s="175"/>
    </row>
    <row r="236" spans="1:47" ht="12.75">
      <c r="A236" s="169"/>
      <c r="AK236" s="175"/>
      <c r="AL236" s="175"/>
      <c r="AM236" s="175"/>
      <c r="AN236" s="175"/>
      <c r="AO236" s="175"/>
      <c r="AP236" s="175"/>
      <c r="AQ236" s="175"/>
      <c r="AR236" s="175"/>
      <c r="AS236" s="175"/>
      <c r="AT236" s="175"/>
      <c r="AU236" s="175"/>
    </row>
    <row r="237" spans="1:47" ht="12.75">
      <c r="A237" s="169"/>
      <c r="AK237" s="175"/>
      <c r="AL237" s="175"/>
      <c r="AM237" s="175"/>
      <c r="AN237" s="175"/>
      <c r="AO237" s="175"/>
      <c r="AP237" s="175"/>
      <c r="AQ237" s="175"/>
      <c r="AR237" s="175"/>
      <c r="AS237" s="175"/>
      <c r="AT237" s="175"/>
      <c r="AU237" s="175"/>
    </row>
    <row r="239" ht="12.75">
      <c r="A239" s="210"/>
    </row>
    <row r="240" ht="12.75">
      <c r="A240" s="210"/>
    </row>
    <row r="241" ht="12.75">
      <c r="A241" s="210"/>
    </row>
    <row r="242" ht="12.75">
      <c r="A242" s="210"/>
    </row>
    <row r="243" ht="12.75">
      <c r="A243" s="210"/>
    </row>
    <row r="244" ht="12.75">
      <c r="A244" s="210"/>
    </row>
    <row r="245" ht="12.75">
      <c r="A245" s="210"/>
    </row>
    <row r="246" ht="12.75">
      <c r="A246" s="210"/>
    </row>
    <row r="247" ht="12.75">
      <c r="A247" s="210"/>
    </row>
    <row r="248" ht="12.75">
      <c r="A248" s="210"/>
    </row>
    <row r="249" ht="12.75">
      <c r="A249" s="210"/>
    </row>
    <row r="250" ht="12.75">
      <c r="A250" s="210"/>
    </row>
    <row r="251" ht="12.75">
      <c r="A251" s="210"/>
    </row>
    <row r="252" spans="1:4" ht="12.75">
      <c r="A252" s="210"/>
      <c r="B252" s="210"/>
      <c r="C252" s="210"/>
      <c r="D252" s="210"/>
    </row>
    <row r="253" spans="1:4" ht="12.75">
      <c r="A253" s="210"/>
      <c r="B253" s="210"/>
      <c r="C253" s="210"/>
      <c r="D253" s="210"/>
    </row>
    <row r="254" spans="1:9" ht="12.75">
      <c r="A254" s="210"/>
      <c r="B254" s="210"/>
      <c r="C254" s="210"/>
      <c r="D254" s="210"/>
      <c r="E254" s="169"/>
      <c r="F254" s="169"/>
      <c r="G254" s="169"/>
      <c r="H254" s="169"/>
      <c r="I254" s="169"/>
    </row>
    <row r="255" spans="1:9" ht="12.75">
      <c r="A255" s="210"/>
      <c r="B255" s="210"/>
      <c r="C255" s="210"/>
      <c r="D255" s="210"/>
      <c r="E255" s="169"/>
      <c r="F255" s="146"/>
      <c r="G255" s="210"/>
      <c r="H255" s="169"/>
      <c r="I255" s="169"/>
    </row>
    <row r="256" spans="1:9" ht="12.75" hidden="1">
      <c r="A256" s="472"/>
      <c r="F256" s="146"/>
      <c r="H256" s="169"/>
      <c r="I256" s="169"/>
    </row>
    <row r="257" spans="1:9" ht="12.75" hidden="1">
      <c r="A257" s="474" t="str">
        <f>Texte!A122</f>
        <v>Vache laitière</v>
      </c>
      <c r="B257" s="473"/>
      <c r="F257" s="146"/>
      <c r="H257" s="169"/>
      <c r="I257" s="169"/>
    </row>
    <row r="258" spans="1:9" ht="12.75" hidden="1">
      <c r="A258" s="474" t="str">
        <f>Texte!A123</f>
        <v>Autre vache</v>
      </c>
      <c r="B258" s="473"/>
      <c r="F258" s="146"/>
      <c r="H258" s="169"/>
      <c r="I258" s="169"/>
    </row>
    <row r="259" spans="1:9" ht="12.75" hidden="1">
      <c r="A259" s="474" t="str">
        <f>Texte!A124</f>
        <v>Vache mère lourde (PV 700-800 kg), sans veau</v>
      </c>
      <c r="B259" s="473"/>
      <c r="F259" s="146"/>
      <c r="H259" s="169"/>
      <c r="I259" s="169"/>
    </row>
    <row r="260" spans="1:9" ht="12.75" hidden="1">
      <c r="A260" s="474" t="str">
        <f>Texte!A125</f>
        <v>Vache mère moyenne (PV 600-700 kg), sans veau</v>
      </c>
      <c r="B260" s="473"/>
      <c r="F260" s="146"/>
      <c r="H260" s="169"/>
      <c r="I260" s="169"/>
    </row>
    <row r="261" spans="1:9" ht="12.75" hidden="1">
      <c r="A261" s="474" t="str">
        <f>Texte!A127</f>
        <v>Vache nourrice, 2 veaux par an, sans veau</v>
      </c>
      <c r="B261" s="473"/>
      <c r="F261" s="146"/>
      <c r="H261" s="169"/>
      <c r="I261" s="169"/>
    </row>
    <row r="262" spans="1:9" ht="12.75" hidden="1">
      <c r="A262" s="474" t="str">
        <f>Texte!A128</f>
        <v>Bovin d'élevage, moins de 1 an</v>
      </c>
      <c r="B262" s="473"/>
      <c r="F262" s="146"/>
      <c r="H262" s="169"/>
      <c r="I262" s="169"/>
    </row>
    <row r="263" spans="1:9" ht="12.75" hidden="1">
      <c r="A263" s="474" t="str">
        <f>Texte!A129</f>
        <v>Bovin d'élevage, 1 à 2 ans</v>
      </c>
      <c r="B263" s="473"/>
      <c r="F263" s="146"/>
      <c r="H263" s="169"/>
      <c r="I263" s="169"/>
    </row>
    <row r="264" spans="1:9" ht="12.75" hidden="1">
      <c r="A264" s="474" t="str">
        <f>Texte!A130</f>
        <v>Génisse, plus de 2 ans</v>
      </c>
      <c r="B264" s="473"/>
      <c r="F264" s="146"/>
      <c r="H264" s="169"/>
      <c r="I264" s="169"/>
    </row>
    <row r="265" spans="1:9" ht="12.75" hidden="1">
      <c r="A265" s="474" t="str">
        <f>Texte!A131</f>
        <v>Veau à l'engrais, 50-200 kg</v>
      </c>
      <c r="B265" s="473"/>
      <c r="F265" s="146"/>
      <c r="H265" s="169"/>
      <c r="I265" s="169"/>
    </row>
    <row r="266" spans="1:9" ht="12.75" hidden="1">
      <c r="A266" s="474" t="str">
        <f>Texte!A132</f>
        <v>Veau allaité jusqu'à env. 350 kg PV</v>
      </c>
      <c r="B266" s="473"/>
      <c r="F266" s="146"/>
      <c r="H266" s="169"/>
      <c r="I266" s="169"/>
    </row>
    <row r="267" spans="1:9" ht="12.75" hidden="1">
      <c r="A267" s="474" t="str">
        <f>Texte!A133</f>
        <v>Veau allaité jusqu'à env. 400 kg PV</v>
      </c>
      <c r="B267" s="473"/>
      <c r="F267" s="146"/>
      <c r="H267" s="169"/>
      <c r="I267" s="169"/>
    </row>
    <row r="268" spans="1:9" ht="12.75" hidden="1">
      <c r="A268" s="474"/>
      <c r="B268" s="473"/>
      <c r="F268" s="146"/>
      <c r="H268" s="169"/>
      <c r="I268" s="169"/>
    </row>
    <row r="269" spans="1:9" ht="12.75" hidden="1">
      <c r="A269" s="474" t="str">
        <f>Texte!A134</f>
        <v>Bovin à l'engrais, intensif, 65-520 kg</v>
      </c>
      <c r="B269" s="473"/>
      <c r="F269" s="146"/>
      <c r="H269" s="169"/>
      <c r="I269" s="169"/>
    </row>
    <row r="270" spans="1:9" ht="12.75" hidden="1">
      <c r="A270" s="474" t="str">
        <f>Texte!A135</f>
        <v>Bovin à l'engrais, sevrage, &lt; 4 mois</v>
      </c>
      <c r="B270" s="473"/>
      <c r="F270" s="146"/>
      <c r="H270" s="169"/>
      <c r="I270" s="169"/>
    </row>
    <row r="271" spans="1:9" ht="12.75" hidden="1">
      <c r="A271" s="474" t="str">
        <f>Texte!A136</f>
        <v>Bovin à l'engrais, intensif, &gt; 4 mois</v>
      </c>
      <c r="B271" s="473"/>
      <c r="F271" s="146"/>
      <c r="H271" s="169"/>
      <c r="I271" s="169"/>
    </row>
    <row r="272" spans="1:9" ht="12.75" hidden="1">
      <c r="A272" s="474" t="str">
        <f>Texte!A137</f>
        <v>Bovin à l'engrais, pâturage, &gt; 4 mois</v>
      </c>
      <c r="B272" s="473"/>
      <c r="F272" s="146"/>
      <c r="I272" s="169"/>
    </row>
    <row r="273" spans="1:9" ht="12.75" hidden="1">
      <c r="A273" s="474" t="str">
        <f>Texte!A138</f>
        <v>Bovin à l'engrais finition (intensive)</v>
      </c>
      <c r="B273" s="473"/>
      <c r="F273" s="146"/>
      <c r="I273" s="169"/>
    </row>
    <row r="274" spans="1:9" ht="12.75" hidden="1">
      <c r="A274" s="473"/>
      <c r="B274" s="473"/>
      <c r="F274" s="146"/>
      <c r="I274" s="169"/>
    </row>
    <row r="275" spans="1:9" ht="12.75" hidden="1">
      <c r="A275" s="473"/>
      <c r="B275" s="473"/>
      <c r="F275" s="146"/>
      <c r="H275" s="169"/>
      <c r="I275" s="169"/>
    </row>
    <row r="276" spans="1:9" ht="12.75" hidden="1">
      <c r="A276" s="474" t="str">
        <f>Texte!A143</f>
        <v>Jument avec poulain, concentré avoine (max. 700 kg)</v>
      </c>
      <c r="B276" s="473"/>
      <c r="F276" s="146"/>
      <c r="H276" s="169"/>
      <c r="I276" s="169"/>
    </row>
    <row r="277" spans="1:9" ht="12.75" hidden="1">
      <c r="A277" s="474" t="str">
        <f>Texte!A142</f>
        <v>Jument avec poulain</v>
      </c>
      <c r="B277" s="473"/>
      <c r="F277" s="146"/>
      <c r="H277" s="169"/>
      <c r="I277" s="169"/>
    </row>
    <row r="278" spans="1:9" ht="12.75" hidden="1">
      <c r="A278" s="474" t="str">
        <f>Texte!A144</f>
        <v>Autre cheval de plus de 3 ans, PV 550 kg</v>
      </c>
      <c r="B278" s="473"/>
      <c r="F278" s="146"/>
      <c r="H278" s="169"/>
      <c r="I278" s="169"/>
    </row>
    <row r="279" spans="1:9" ht="12.75" hidden="1">
      <c r="A279" s="474" t="str">
        <f>Texte!A145</f>
        <v>Poulains, 0.5 à 3 ans</v>
      </c>
      <c r="B279" s="473"/>
      <c r="F279" s="146"/>
      <c r="H279" s="169"/>
      <c r="I279" s="169"/>
    </row>
    <row r="280" spans="1:9" ht="12.75" hidden="1">
      <c r="A280" s="474" t="str">
        <f>Texte!A146</f>
        <v>Mulet et bardot, de tout âge</v>
      </c>
      <c r="B280" s="473"/>
      <c r="F280" s="146"/>
      <c r="H280" s="169"/>
      <c r="I280" s="169"/>
    </row>
    <row r="281" spans="1:9" ht="12.75" hidden="1">
      <c r="A281" s="474" t="str">
        <f>Texte!A147</f>
        <v>Poney, petit cheval, âne de tout âge</v>
      </c>
      <c r="B281" s="473"/>
      <c r="F281" s="146"/>
      <c r="H281" s="169"/>
      <c r="I281" s="169"/>
    </row>
    <row r="282" spans="1:9" ht="12.75" hidden="1">
      <c r="A282" s="474" t="str">
        <f>Texte!A149</f>
        <v>Mouton y c. agneau et part de bélier</v>
      </c>
      <c r="B282" s="473"/>
      <c r="F282" s="146"/>
      <c r="H282" s="169"/>
      <c r="I282" s="169"/>
    </row>
    <row r="283" spans="1:9" ht="12.75" hidden="1">
      <c r="A283" s="474" t="str">
        <f>Texte!A151</f>
        <v>Agneau engraissé au pâturage</v>
      </c>
      <c r="B283" s="473"/>
      <c r="F283" s="146"/>
      <c r="H283" s="169"/>
      <c r="I283" s="169"/>
    </row>
    <row r="284" spans="1:9" ht="12.75" hidden="1">
      <c r="A284" s="474" t="str">
        <f>Texte!A152</f>
        <v>Daim, y c. petits, 1u.=2 animaux</v>
      </c>
      <c r="B284" s="473"/>
      <c r="F284" s="146"/>
      <c r="H284" s="169"/>
      <c r="I284" s="169"/>
    </row>
    <row r="285" spans="1:9" ht="12.75" hidden="1">
      <c r="A285" s="474" t="str">
        <f>Texte!A153</f>
        <v>Cerf,  y c. petits, 1u.=2 animaux</v>
      </c>
      <c r="B285" s="473"/>
      <c r="F285" s="146"/>
      <c r="H285" s="169"/>
      <c r="I285" s="169"/>
    </row>
    <row r="286" spans="1:9" ht="12.75" hidden="1">
      <c r="A286" s="474" t="str">
        <f>Texte!A154</f>
        <v>Wapiti, y c. petits, 1u.=2 animaux</v>
      </c>
      <c r="B286" s="473"/>
      <c r="F286" s="146"/>
      <c r="H286" s="169"/>
      <c r="I286" s="169"/>
    </row>
    <row r="287" spans="1:9" ht="12.75" hidden="1">
      <c r="A287" s="474" t="str">
        <f>Texte!A155</f>
        <v>Bison plus de 3 ans</v>
      </c>
      <c r="B287" s="473"/>
      <c r="F287" s="146"/>
      <c r="H287" s="169"/>
      <c r="I287" s="169"/>
    </row>
    <row r="288" spans="1:9" ht="12.75" hidden="1">
      <c r="A288" s="474" t="str">
        <f>Texte!A156</f>
        <v>Bison moins de 3 ans</v>
      </c>
      <c r="B288" s="473"/>
      <c r="F288" s="146"/>
      <c r="H288" s="169"/>
      <c r="I288" s="169"/>
    </row>
    <row r="289" spans="1:9" ht="12.75" hidden="1">
      <c r="A289" s="474" t="str">
        <f>Texte!A157</f>
        <v>Lama plus de 2 ans</v>
      </c>
      <c r="B289" s="473"/>
      <c r="F289" s="146"/>
      <c r="H289" s="169"/>
      <c r="I289" s="169"/>
    </row>
    <row r="290" spans="1:9" ht="12.75" hidden="1">
      <c r="A290" s="474" t="str">
        <f>Texte!A158</f>
        <v>Lama moins de 2 ans</v>
      </c>
      <c r="B290" s="473"/>
      <c r="F290" s="146"/>
      <c r="H290" s="169"/>
      <c r="I290" s="169"/>
    </row>
    <row r="291" spans="1:9" ht="12.75" hidden="1">
      <c r="A291" s="474" t="str">
        <f>Texte!A159</f>
        <v>Alpaga plus de 2 ans</v>
      </c>
      <c r="B291" s="473"/>
      <c r="F291" s="146"/>
      <c r="H291" s="169"/>
      <c r="I291" s="169"/>
    </row>
    <row r="292" spans="1:9" ht="12.75" hidden="1">
      <c r="A292" s="474" t="str">
        <f>Texte!A160</f>
        <v>Alpaga moins de 2 ans</v>
      </c>
      <c r="B292" s="473"/>
      <c r="F292" s="146"/>
      <c r="H292" s="169"/>
      <c r="I292" s="169"/>
    </row>
    <row r="293" spans="2:9" ht="12.75" hidden="1">
      <c r="B293" s="473"/>
      <c r="F293" s="146"/>
      <c r="H293" s="169"/>
      <c r="I293" s="169"/>
    </row>
    <row r="294" spans="2:9" ht="12.75" hidden="1">
      <c r="B294" s="473"/>
      <c r="F294" s="146"/>
      <c r="H294" s="169"/>
      <c r="I294" s="169"/>
    </row>
    <row r="295" spans="1:9" ht="12.75" hidden="1">
      <c r="A295" s="474"/>
      <c r="B295" s="473"/>
      <c r="F295" s="146"/>
      <c r="H295" s="169"/>
      <c r="I295" s="169"/>
    </row>
    <row r="296" spans="1:9" ht="12.75" hidden="1">
      <c r="A296" s="474"/>
      <c r="B296" s="473"/>
      <c r="F296" s="146"/>
      <c r="H296" s="169"/>
      <c r="I296" s="169"/>
    </row>
    <row r="297" spans="1:9" ht="12.75" hidden="1">
      <c r="A297" s="474"/>
      <c r="B297" s="473"/>
      <c r="F297" s="146"/>
      <c r="H297" s="169"/>
      <c r="I297" s="169"/>
    </row>
    <row r="298" spans="1:9" ht="12.75" hidden="1">
      <c r="A298" s="474"/>
      <c r="B298" s="473"/>
      <c r="F298" s="146"/>
      <c r="H298" s="169"/>
      <c r="I298" s="169"/>
    </row>
    <row r="299" spans="1:9" ht="12.75" hidden="1">
      <c r="A299" s="474"/>
      <c r="B299" s="473"/>
      <c r="F299" s="146"/>
      <c r="H299" s="169"/>
      <c r="I299" s="169"/>
    </row>
    <row r="300" spans="1:9" ht="12.75" hidden="1">
      <c r="A300" s="474"/>
      <c r="B300" s="473"/>
      <c r="F300" s="146"/>
      <c r="H300" s="169"/>
      <c r="I300" s="169"/>
    </row>
    <row r="301" spans="1:9" ht="12.75" hidden="1">
      <c r="A301" s="474"/>
      <c r="B301" s="473"/>
      <c r="F301" s="146"/>
      <c r="H301" s="169"/>
      <c r="I301" s="169"/>
    </row>
    <row r="302" spans="1:9" ht="12.75" hidden="1">
      <c r="A302" s="474" t="str">
        <f>Texte!A171</f>
        <v>Truie non allaitante</v>
      </c>
      <c r="B302" s="473"/>
      <c r="F302" s="146"/>
      <c r="H302" s="169"/>
      <c r="I302" s="169"/>
    </row>
    <row r="303" spans="1:9" ht="12.75" hidden="1">
      <c r="A303" s="474" t="str">
        <f>Texte!A172</f>
        <v>Truie non allaitante, par rotation</v>
      </c>
      <c r="B303" s="473"/>
      <c r="F303" s="146"/>
      <c r="H303" s="169"/>
      <c r="I303" s="169"/>
    </row>
    <row r="304" spans="1:9" ht="12.75" hidden="1">
      <c r="A304" s="474" t="str">
        <f>Texte!A173</f>
        <v>Truie allaitante, y c. porcelets</v>
      </c>
      <c r="B304" s="473"/>
      <c r="F304" s="146"/>
      <c r="H304" s="169"/>
      <c r="I304" s="169"/>
    </row>
    <row r="305" spans="1:9" ht="12.75" hidden="1">
      <c r="A305" s="474" t="str">
        <f>Texte!A174</f>
        <v>Truie allaitante, y c. porcelets, par rotation</v>
      </c>
      <c r="B305" s="473"/>
      <c r="F305" s="146"/>
      <c r="H305" s="169"/>
      <c r="I305" s="169"/>
    </row>
    <row r="306" spans="1:9" ht="12.75" hidden="1">
      <c r="A306" s="474" t="str">
        <f>Texte!A175</f>
        <v>Verrat</v>
      </c>
      <c r="B306" s="473"/>
      <c r="F306" s="146"/>
      <c r="H306" s="169"/>
      <c r="I306" s="169"/>
    </row>
    <row r="307" spans="1:9" ht="12.75" hidden="1">
      <c r="A307" s="474"/>
      <c r="B307" s="473"/>
      <c r="F307" s="146"/>
      <c r="H307" s="169"/>
      <c r="I307" s="169"/>
    </row>
    <row r="308" spans="1:9" ht="12.75" hidden="1">
      <c r="A308" s="146"/>
      <c r="F308" s="146"/>
      <c r="H308" s="169"/>
      <c r="I308" s="169"/>
    </row>
    <row r="309" spans="1:9" ht="12.75" hidden="1">
      <c r="A309" s="146"/>
      <c r="F309" s="146"/>
      <c r="H309" s="169"/>
      <c r="I309" s="169"/>
    </row>
    <row r="310" spans="6:9" ht="12.75" hidden="1">
      <c r="F310" s="146"/>
      <c r="H310" s="169"/>
      <c r="I310" s="169"/>
    </row>
    <row r="311" spans="1:9" ht="12.75" hidden="1">
      <c r="A311" s="146"/>
      <c r="F311" s="146"/>
      <c r="H311" s="169"/>
      <c r="I311" s="169"/>
    </row>
    <row r="312" spans="1:9" ht="12.75">
      <c r="A312" s="146"/>
      <c r="F312" s="146"/>
      <c r="H312" s="169"/>
      <c r="I312" s="169"/>
    </row>
    <row r="313" spans="1:9" ht="12.75">
      <c r="A313" s="146"/>
      <c r="F313" s="146"/>
      <c r="H313" s="169"/>
      <c r="I313" s="169"/>
    </row>
    <row r="314" spans="1:9" ht="12.75">
      <c r="A314" s="146"/>
      <c r="G314" s="169"/>
      <c r="H314" s="169"/>
      <c r="I314" s="169"/>
    </row>
    <row r="315" spans="1:9" ht="12.75">
      <c r="A315" s="146"/>
      <c r="G315" s="169"/>
      <c r="H315" s="169"/>
      <c r="I315" s="169"/>
    </row>
    <row r="316" spans="1:9" ht="12.75">
      <c r="A316" s="146"/>
      <c r="G316" s="169"/>
      <c r="H316" s="169"/>
      <c r="I316" s="169"/>
    </row>
    <row r="317" spans="1:9" ht="12.75">
      <c r="A317" s="146"/>
      <c r="G317" s="169"/>
      <c r="H317" s="169"/>
      <c r="I317" s="169"/>
    </row>
    <row r="318" spans="1:9" ht="12.75">
      <c r="A318" s="146"/>
      <c r="G318" s="169"/>
      <c r="H318" s="169"/>
      <c r="I318" s="169"/>
    </row>
    <row r="319" spans="1:9" ht="12.75">
      <c r="A319" s="146"/>
      <c r="G319" s="169"/>
      <c r="H319" s="169"/>
      <c r="I319" s="169"/>
    </row>
    <row r="320" spans="1:9" ht="12.75">
      <c r="A320" s="146"/>
      <c r="G320" s="169"/>
      <c r="H320" s="169"/>
      <c r="I320" s="169"/>
    </row>
    <row r="321" spans="1:9" ht="12.75">
      <c r="A321" s="146"/>
      <c r="G321" s="169"/>
      <c r="H321" s="169"/>
      <c r="I321" s="169"/>
    </row>
    <row r="322" spans="1:9" ht="12.75">
      <c r="A322" s="146"/>
      <c r="G322" s="169"/>
      <c r="H322" s="169"/>
      <c r="I322" s="169"/>
    </row>
    <row r="323" spans="1:9" ht="12.75">
      <c r="A323" s="146"/>
      <c r="G323" s="169"/>
      <c r="H323" s="169"/>
      <c r="I323" s="169"/>
    </row>
    <row r="324" spans="1:9" ht="12.75">
      <c r="A324" s="146"/>
      <c r="G324" s="169"/>
      <c r="H324" s="169"/>
      <c r="I324" s="169"/>
    </row>
    <row r="325" spans="1:9" ht="12.75">
      <c r="A325" s="146"/>
      <c r="G325" s="169"/>
      <c r="H325" s="169"/>
      <c r="I325" s="169"/>
    </row>
    <row r="326" spans="1:9" ht="12.75">
      <c r="A326" s="146"/>
      <c r="G326" s="169"/>
      <c r="H326" s="169"/>
      <c r="I326" s="169"/>
    </row>
    <row r="327" spans="1:9" ht="12.75">
      <c r="A327" s="146"/>
      <c r="G327" s="169"/>
      <c r="H327" s="169"/>
      <c r="I327" s="169"/>
    </row>
    <row r="328" spans="1:9" ht="12.75">
      <c r="A328" s="146"/>
      <c r="G328" s="169"/>
      <c r="H328" s="169"/>
      <c r="I328" s="169"/>
    </row>
    <row r="329" spans="1:9" ht="12.75">
      <c r="A329" s="146"/>
      <c r="G329" s="169"/>
      <c r="H329" s="169"/>
      <c r="I329" s="169"/>
    </row>
    <row r="330" spans="1:9" ht="12.75">
      <c r="A330" s="146"/>
      <c r="G330" s="169"/>
      <c r="H330" s="169"/>
      <c r="I330" s="169"/>
    </row>
    <row r="331" spans="1:9" ht="12.75">
      <c r="A331" s="146"/>
      <c r="G331" s="169"/>
      <c r="H331" s="169"/>
      <c r="I331" s="169"/>
    </row>
    <row r="332" spans="1:9" ht="12.75">
      <c r="A332" s="146"/>
      <c r="G332" s="169"/>
      <c r="H332" s="169"/>
      <c r="I332" s="169"/>
    </row>
    <row r="333" spans="1:9" ht="12.75">
      <c r="A333" s="146"/>
      <c r="G333" s="169"/>
      <c r="H333" s="169"/>
      <c r="I333" s="169"/>
    </row>
    <row r="334" spans="1:9" ht="12.75">
      <c r="A334" s="146"/>
      <c r="G334" s="169"/>
      <c r="H334" s="169"/>
      <c r="I334" s="169"/>
    </row>
    <row r="335" spans="1:9" ht="12.75">
      <c r="A335" s="146"/>
      <c r="G335" s="169"/>
      <c r="H335" s="169"/>
      <c r="I335" s="169"/>
    </row>
    <row r="336" spans="1:9" ht="12.75">
      <c r="A336" s="146"/>
      <c r="G336" s="169"/>
      <c r="H336" s="169"/>
      <c r="I336" s="169"/>
    </row>
    <row r="337" spans="1:9" ht="12.75">
      <c r="A337" s="146"/>
      <c r="G337" s="169"/>
      <c r="H337" s="169"/>
      <c r="I337" s="169"/>
    </row>
    <row r="338" spans="1:9" ht="12.75">
      <c r="A338" s="146"/>
      <c r="G338" s="169"/>
      <c r="H338" s="169"/>
      <c r="I338" s="169"/>
    </row>
    <row r="339" spans="1:9" ht="12.75">
      <c r="A339" s="146"/>
      <c r="G339" s="169"/>
      <c r="H339" s="169"/>
      <c r="I339" s="169"/>
    </row>
    <row r="340" spans="1:9" ht="12.75">
      <c r="A340" s="146"/>
      <c r="B340" s="169"/>
      <c r="C340" s="169"/>
      <c r="D340" s="169"/>
      <c r="E340" s="169"/>
      <c r="F340" s="169"/>
      <c r="G340" s="169"/>
      <c r="H340" s="169"/>
      <c r="I340" s="169"/>
    </row>
    <row r="341" spans="1:9" ht="12.75">
      <c r="A341" s="146"/>
      <c r="B341" s="169"/>
      <c r="C341" s="169"/>
      <c r="D341" s="169"/>
      <c r="E341" s="169"/>
      <c r="F341" s="169"/>
      <c r="G341" s="169"/>
      <c r="H341" s="169"/>
      <c r="I341" s="169"/>
    </row>
    <row r="342" spans="1:9" ht="12.75">
      <c r="A342" s="146"/>
      <c r="B342" s="169"/>
      <c r="C342" s="169"/>
      <c r="D342" s="169"/>
      <c r="E342" s="169"/>
      <c r="F342" s="169"/>
      <c r="G342" s="169"/>
      <c r="H342" s="169"/>
      <c r="I342" s="169"/>
    </row>
    <row r="343" spans="1:9" ht="12.75">
      <c r="A343" s="146"/>
      <c r="B343" s="169"/>
      <c r="C343" s="169"/>
      <c r="D343" s="169"/>
      <c r="E343" s="169"/>
      <c r="F343" s="169"/>
      <c r="G343" s="169"/>
      <c r="H343" s="169"/>
      <c r="I343" s="169"/>
    </row>
    <row r="344" spans="1:9" ht="12.75">
      <c r="A344" s="146"/>
      <c r="B344" s="169"/>
      <c r="C344" s="169"/>
      <c r="D344" s="169"/>
      <c r="E344" s="169"/>
      <c r="F344" s="169"/>
      <c r="G344" s="169"/>
      <c r="H344" s="169"/>
      <c r="I344" s="169"/>
    </row>
    <row r="345" spans="1:9" ht="12.75">
      <c r="A345" s="146"/>
      <c r="B345" s="169"/>
      <c r="C345" s="169"/>
      <c r="D345" s="169"/>
      <c r="E345" s="169"/>
      <c r="F345" s="169"/>
      <c r="G345" s="169"/>
      <c r="H345" s="169"/>
      <c r="I345" s="169"/>
    </row>
    <row r="346" spans="1:9" ht="12.75">
      <c r="A346" s="146"/>
      <c r="B346" s="169"/>
      <c r="C346" s="169"/>
      <c r="D346" s="169"/>
      <c r="E346" s="169"/>
      <c r="F346" s="169"/>
      <c r="G346" s="169"/>
      <c r="H346" s="169"/>
      <c r="I346" s="169"/>
    </row>
    <row r="347" spans="1:9" ht="12.75">
      <c r="A347" s="146"/>
      <c r="B347" s="169"/>
      <c r="C347" s="169"/>
      <c r="D347" s="169"/>
      <c r="E347" s="169"/>
      <c r="F347" s="169"/>
      <c r="G347" s="169"/>
      <c r="H347" s="169"/>
      <c r="I347" s="169"/>
    </row>
    <row r="348" spans="1:9" ht="12.75">
      <c r="A348" s="146"/>
      <c r="B348" s="169"/>
      <c r="C348" s="169"/>
      <c r="D348" s="169"/>
      <c r="E348" s="169"/>
      <c r="F348" s="169"/>
      <c r="G348" s="169"/>
      <c r="H348" s="169"/>
      <c r="I348" s="169"/>
    </row>
    <row r="349" spans="1:9" ht="12.75">
      <c r="A349" s="146"/>
      <c r="B349" s="169"/>
      <c r="C349" s="169"/>
      <c r="D349" s="169"/>
      <c r="E349" s="169"/>
      <c r="F349" s="169"/>
      <c r="G349" s="169"/>
      <c r="H349" s="169"/>
      <c r="I349" s="169"/>
    </row>
    <row r="350" spans="1:9" ht="12.75">
      <c r="A350" s="146"/>
      <c r="B350" s="169"/>
      <c r="C350" s="169"/>
      <c r="D350" s="169"/>
      <c r="E350" s="169"/>
      <c r="F350" s="169"/>
      <c r="G350" s="169"/>
      <c r="H350" s="169"/>
      <c r="I350" s="169"/>
    </row>
    <row r="351" spans="1:9" ht="12.75">
      <c r="A351" s="146"/>
      <c r="B351" s="169"/>
      <c r="C351" s="169"/>
      <c r="D351" s="169"/>
      <c r="E351" s="169"/>
      <c r="F351" s="169"/>
      <c r="G351" s="169"/>
      <c r="H351" s="169"/>
      <c r="I351" s="169"/>
    </row>
    <row r="352" spans="1:9" ht="12.75">
      <c r="A352" s="146"/>
      <c r="B352" s="169"/>
      <c r="C352" s="169"/>
      <c r="D352" s="169"/>
      <c r="E352" s="169"/>
      <c r="F352" s="169"/>
      <c r="G352" s="169"/>
      <c r="H352" s="169"/>
      <c r="I352" s="169"/>
    </row>
    <row r="353" spans="1:9" ht="12.75">
      <c r="A353" s="146"/>
      <c r="B353" s="169"/>
      <c r="C353" s="169"/>
      <c r="D353" s="169"/>
      <c r="E353" s="169"/>
      <c r="F353" s="169"/>
      <c r="G353" s="169"/>
      <c r="H353" s="169"/>
      <c r="I353" s="169"/>
    </row>
    <row r="354" spans="1:9" ht="12.75">
      <c r="A354" s="146"/>
      <c r="B354" s="169"/>
      <c r="C354" s="169"/>
      <c r="D354" s="169"/>
      <c r="E354" s="169"/>
      <c r="F354" s="169"/>
      <c r="G354" s="169"/>
      <c r="H354" s="169"/>
      <c r="I354" s="169"/>
    </row>
    <row r="355" spans="1:9" ht="12.75">
      <c r="A355" s="146"/>
      <c r="B355" s="169"/>
      <c r="C355" s="169"/>
      <c r="D355" s="169"/>
      <c r="E355" s="169"/>
      <c r="F355" s="169"/>
      <c r="G355" s="169"/>
      <c r="H355" s="169"/>
      <c r="I355" s="169"/>
    </row>
    <row r="356" spans="1:9" ht="12.75">
      <c r="A356" s="146"/>
      <c r="B356" s="169"/>
      <c r="C356" s="169"/>
      <c r="D356" s="169"/>
      <c r="E356" s="169"/>
      <c r="F356" s="169"/>
      <c r="G356" s="169"/>
      <c r="H356" s="169"/>
      <c r="I356" s="169"/>
    </row>
    <row r="357" spans="1:9" ht="12.75">
      <c r="A357" s="146"/>
      <c r="B357" s="169"/>
      <c r="C357" s="169"/>
      <c r="D357" s="169"/>
      <c r="E357" s="169"/>
      <c r="F357" s="169"/>
      <c r="G357" s="169"/>
      <c r="H357" s="169"/>
      <c r="I357" s="169"/>
    </row>
    <row r="358" spans="1:9" ht="12.75">
      <c r="A358" s="146"/>
      <c r="B358" s="169"/>
      <c r="C358" s="169"/>
      <c r="D358" s="169"/>
      <c r="E358" s="169"/>
      <c r="F358" s="169"/>
      <c r="G358" s="169"/>
      <c r="H358" s="169"/>
      <c r="I358" s="169"/>
    </row>
    <row r="359" spans="1:9" ht="12.75">
      <c r="A359" s="146"/>
      <c r="B359" s="169"/>
      <c r="C359" s="169"/>
      <c r="D359" s="169"/>
      <c r="E359" s="169"/>
      <c r="F359" s="169"/>
      <c r="G359" s="169"/>
      <c r="H359" s="169"/>
      <c r="I359" s="169"/>
    </row>
    <row r="360" spans="1:9" ht="12.75">
      <c r="A360" s="146"/>
      <c r="B360" s="169"/>
      <c r="C360" s="169"/>
      <c r="D360" s="169"/>
      <c r="E360" s="169"/>
      <c r="F360" s="169"/>
      <c r="G360" s="169"/>
      <c r="H360" s="169"/>
      <c r="I360" s="169"/>
    </row>
    <row r="361" spans="1:9" ht="12.75">
      <c r="A361" s="146"/>
      <c r="B361" s="169"/>
      <c r="C361" s="169"/>
      <c r="D361" s="169"/>
      <c r="E361" s="169"/>
      <c r="F361" s="169"/>
      <c r="G361" s="169"/>
      <c r="H361" s="169"/>
      <c r="I361" s="169"/>
    </row>
    <row r="362" spans="1:9" ht="12.75" customHeight="1">
      <c r="A362" s="499"/>
      <c r="D362" s="169"/>
      <c r="E362" s="169"/>
      <c r="F362" s="169"/>
      <c r="G362" s="169"/>
      <c r="H362" s="169"/>
      <c r="I362" s="169"/>
    </row>
    <row r="363" spans="4:9" ht="12.75">
      <c r="D363" s="169"/>
      <c r="E363" s="169"/>
      <c r="F363" s="169"/>
      <c r="G363" s="169"/>
      <c r="H363" s="169"/>
      <c r="I363" s="169"/>
    </row>
    <row r="364" spans="1:9" ht="12.75">
      <c r="A364" s="169"/>
      <c r="B364" s="169"/>
      <c r="C364" s="169"/>
      <c r="D364" s="169"/>
      <c r="E364" s="169"/>
      <c r="F364" s="169"/>
      <c r="G364" s="169"/>
      <c r="H364" s="169"/>
      <c r="I364" s="169"/>
    </row>
    <row r="365" spans="1:9" ht="12.75">
      <c r="A365" s="169"/>
      <c r="B365" s="169"/>
      <c r="C365" s="169"/>
      <c r="D365" s="169"/>
      <c r="E365" s="169"/>
      <c r="F365" s="169"/>
      <c r="G365" s="169"/>
      <c r="H365" s="169"/>
      <c r="I365" s="169"/>
    </row>
    <row r="366" spans="1:9" ht="12.75">
      <c r="A366" s="169"/>
      <c r="B366" s="169"/>
      <c r="C366" s="169"/>
      <c r="D366" s="169"/>
      <c r="E366" s="169"/>
      <c r="F366" s="169"/>
      <c r="G366" s="169"/>
      <c r="H366" s="169"/>
      <c r="I366" s="169"/>
    </row>
    <row r="367" spans="1:9" ht="12.75">
      <c r="A367" s="169"/>
      <c r="B367" s="169"/>
      <c r="C367" s="169"/>
      <c r="D367" s="169"/>
      <c r="E367" s="169"/>
      <c r="F367" s="169"/>
      <c r="G367" s="169"/>
      <c r="H367" s="169"/>
      <c r="I367" s="169"/>
    </row>
    <row r="368" spans="1:9" ht="12.75">
      <c r="A368" s="169"/>
      <c r="B368" s="169"/>
      <c r="C368" s="169"/>
      <c r="D368" s="169"/>
      <c r="E368" s="169"/>
      <c r="F368" s="169"/>
      <c r="G368" s="169"/>
      <c r="H368" s="169"/>
      <c r="I368" s="169"/>
    </row>
    <row r="369" spans="1:9" ht="12.75">
      <c r="A369" s="169"/>
      <c r="B369" s="169"/>
      <c r="C369" s="169"/>
      <c r="D369" s="169"/>
      <c r="E369" s="169"/>
      <c r="F369" s="169"/>
      <c r="G369" s="169"/>
      <c r="H369" s="169"/>
      <c r="I369" s="169"/>
    </row>
    <row r="370" spans="1:9" ht="12.75">
      <c r="A370" s="169"/>
      <c r="B370" s="169"/>
      <c r="C370" s="169"/>
      <c r="D370" s="169"/>
      <c r="E370" s="169"/>
      <c r="F370" s="169"/>
      <c r="G370" s="169"/>
      <c r="H370" s="169"/>
      <c r="I370" s="169"/>
    </row>
    <row r="371" spans="1:9" ht="12.75">
      <c r="A371" s="169"/>
      <c r="B371" s="169"/>
      <c r="C371" s="169"/>
      <c r="D371" s="169"/>
      <c r="E371" s="169"/>
      <c r="F371" s="169"/>
      <c r="G371" s="169"/>
      <c r="H371" s="169"/>
      <c r="I371" s="169"/>
    </row>
    <row r="372" spans="1:9" ht="12.75">
      <c r="A372" s="169"/>
      <c r="B372" s="169"/>
      <c r="C372" s="169"/>
      <c r="D372" s="169"/>
      <c r="E372" s="169"/>
      <c r="F372" s="169"/>
      <c r="G372" s="169"/>
      <c r="H372" s="169"/>
      <c r="I372" s="169"/>
    </row>
    <row r="373" spans="1:9" ht="12.75">
      <c r="A373" s="169"/>
      <c r="B373" s="169"/>
      <c r="C373" s="169"/>
      <c r="D373" s="169"/>
      <c r="E373" s="169"/>
      <c r="F373" s="169"/>
      <c r="G373" s="169"/>
      <c r="H373" s="169"/>
      <c r="I373" s="169"/>
    </row>
    <row r="374" spans="1:9" ht="12.75">
      <c r="A374" s="169"/>
      <c r="B374" s="169"/>
      <c r="C374" s="169"/>
      <c r="D374" s="169"/>
      <c r="E374" s="169"/>
      <c r="F374" s="169"/>
      <c r="G374" s="169"/>
      <c r="H374" s="169"/>
      <c r="I374" s="169"/>
    </row>
    <row r="375" spans="1:9" ht="12.75">
      <c r="A375" s="169"/>
      <c r="B375" s="169"/>
      <c r="C375" s="169"/>
      <c r="D375" s="169"/>
      <c r="E375" s="169"/>
      <c r="F375" s="169"/>
      <c r="G375" s="169"/>
      <c r="H375" s="169"/>
      <c r="I375" s="169"/>
    </row>
    <row r="376" spans="1:9" ht="12.75">
      <c r="A376" s="169"/>
      <c r="B376" s="169"/>
      <c r="C376" s="169"/>
      <c r="D376" s="169"/>
      <c r="E376" s="169"/>
      <c r="F376" s="169"/>
      <c r="G376" s="169"/>
      <c r="H376" s="169"/>
      <c r="I376" s="169"/>
    </row>
    <row r="377" spans="1:9" ht="12.75">
      <c r="A377" s="169"/>
      <c r="B377" s="169"/>
      <c r="C377" s="169"/>
      <c r="D377" s="169"/>
      <c r="E377" s="169"/>
      <c r="F377" s="169"/>
      <c r="G377" s="169"/>
      <c r="H377" s="169"/>
      <c r="I377" s="169"/>
    </row>
    <row r="378" spans="1:9" ht="12.75">
      <c r="A378" s="169"/>
      <c r="B378" s="169"/>
      <c r="C378" s="169"/>
      <c r="D378" s="169"/>
      <c r="E378" s="169"/>
      <c r="F378" s="169"/>
      <c r="G378" s="169"/>
      <c r="H378" s="169"/>
      <c r="I378" s="169"/>
    </row>
    <row r="379" spans="1:9" ht="12.75">
      <c r="A379" s="169"/>
      <c r="B379" s="169"/>
      <c r="C379" s="169"/>
      <c r="D379" s="169"/>
      <c r="E379" s="169"/>
      <c r="F379" s="169"/>
      <c r="G379" s="169"/>
      <c r="H379" s="169"/>
      <c r="I379" s="169"/>
    </row>
    <row r="380" spans="1:9" ht="12.75">
      <c r="A380" s="169"/>
      <c r="B380" s="169"/>
      <c r="C380" s="169"/>
      <c r="D380" s="169"/>
      <c r="E380" s="169"/>
      <c r="F380" s="169"/>
      <c r="G380" s="169"/>
      <c r="H380" s="169"/>
      <c r="I380" s="169"/>
    </row>
    <row r="381" spans="1:9" ht="12.75">
      <c r="A381" s="169"/>
      <c r="B381" s="169"/>
      <c r="C381" s="169"/>
      <c r="D381" s="169"/>
      <c r="E381" s="169"/>
      <c r="F381" s="169"/>
      <c r="G381" s="169"/>
      <c r="H381" s="169"/>
      <c r="I381" s="169"/>
    </row>
    <row r="382" spans="1:9" ht="12.75">
      <c r="A382" s="169"/>
      <c r="B382" s="169"/>
      <c r="C382" s="169"/>
      <c r="D382" s="169"/>
      <c r="E382" s="169"/>
      <c r="F382" s="169"/>
      <c r="G382" s="169"/>
      <c r="H382" s="169"/>
      <c r="I382" s="169"/>
    </row>
    <row r="383" spans="1:9" ht="12.75">
      <c r="A383" s="169"/>
      <c r="B383" s="169"/>
      <c r="C383" s="169"/>
      <c r="D383" s="169"/>
      <c r="E383" s="169"/>
      <c r="F383" s="169"/>
      <c r="G383" s="169"/>
      <c r="H383" s="169"/>
      <c r="I383" s="169"/>
    </row>
    <row r="384" spans="1:9" ht="12.75">
      <c r="A384" s="169"/>
      <c r="B384" s="169"/>
      <c r="C384" s="169"/>
      <c r="D384" s="169"/>
      <c r="E384" s="169"/>
      <c r="F384" s="169"/>
      <c r="G384" s="169"/>
      <c r="H384" s="169"/>
      <c r="I384" s="169"/>
    </row>
    <row r="385" spans="1:9" ht="12.75">
      <c r="A385" s="169"/>
      <c r="B385" s="169"/>
      <c r="C385" s="169"/>
      <c r="D385" s="169"/>
      <c r="E385" s="169"/>
      <c r="F385" s="169"/>
      <c r="G385" s="169"/>
      <c r="H385" s="169"/>
      <c r="I385" s="169"/>
    </row>
    <row r="386" spans="1:9" ht="12.75">
      <c r="A386" s="169"/>
      <c r="B386" s="169"/>
      <c r="C386" s="169"/>
      <c r="D386" s="169"/>
      <c r="E386" s="169"/>
      <c r="F386" s="169"/>
      <c r="G386" s="169"/>
      <c r="H386" s="169"/>
      <c r="I386" s="169"/>
    </row>
    <row r="387" spans="1:9" ht="12.75">
      <c r="A387" s="169"/>
      <c r="B387" s="169"/>
      <c r="C387" s="169"/>
      <c r="D387" s="169"/>
      <c r="E387" s="169"/>
      <c r="F387" s="169"/>
      <c r="G387" s="169"/>
      <c r="H387" s="169"/>
      <c r="I387" s="169"/>
    </row>
    <row r="388" spans="1:9" ht="12.75">
      <c r="A388" s="169"/>
      <c r="B388" s="169"/>
      <c r="C388" s="169"/>
      <c r="D388" s="169"/>
      <c r="E388" s="169"/>
      <c r="F388" s="169"/>
      <c r="G388" s="169"/>
      <c r="H388" s="169"/>
      <c r="I388" s="169"/>
    </row>
    <row r="389" spans="1:9" ht="12.75">
      <c r="A389" s="169"/>
      <c r="B389" s="169"/>
      <c r="C389" s="169"/>
      <c r="D389" s="169"/>
      <c r="E389" s="169"/>
      <c r="F389" s="169"/>
      <c r="G389" s="169"/>
      <c r="H389" s="169"/>
      <c r="I389" s="169"/>
    </row>
    <row r="390" spans="1:9" ht="12.75">
      <c r="A390" s="169"/>
      <c r="B390" s="169"/>
      <c r="C390" s="169"/>
      <c r="D390" s="169"/>
      <c r="E390" s="169"/>
      <c r="F390" s="169"/>
      <c r="G390" s="169"/>
      <c r="H390" s="169"/>
      <c r="I390" s="169"/>
    </row>
    <row r="391" spans="1:9" ht="12.75">
      <c r="A391" s="169"/>
      <c r="B391" s="169"/>
      <c r="C391" s="169"/>
      <c r="D391" s="169"/>
      <c r="E391" s="169"/>
      <c r="F391" s="169"/>
      <c r="G391" s="169"/>
      <c r="H391" s="169"/>
      <c r="I391" s="169"/>
    </row>
    <row r="392" spans="1:9" ht="12.75">
      <c r="A392" s="169"/>
      <c r="B392" s="169"/>
      <c r="C392" s="169"/>
      <c r="D392" s="169"/>
      <c r="E392" s="169"/>
      <c r="F392" s="210"/>
      <c r="G392" s="210"/>
      <c r="H392" s="210"/>
      <c r="I392" s="169"/>
    </row>
    <row r="393" spans="1:9" ht="12.75">
      <c r="A393" s="169"/>
      <c r="B393" s="169"/>
      <c r="C393" s="169"/>
      <c r="D393" s="169"/>
      <c r="E393" s="169"/>
      <c r="F393" s="210"/>
      <c r="G393" s="210"/>
      <c r="H393" s="210"/>
      <c r="I393" s="169"/>
    </row>
    <row r="394" spans="1:9" ht="12.75">
      <c r="A394" s="169"/>
      <c r="B394" s="169"/>
      <c r="C394" s="169"/>
      <c r="D394" s="169"/>
      <c r="E394" s="169"/>
      <c r="F394" s="210"/>
      <c r="G394" s="210"/>
      <c r="H394" s="210"/>
      <c r="I394" s="169"/>
    </row>
    <row r="395" spans="1:9" ht="12.75">
      <c r="A395" s="169"/>
      <c r="B395" s="169"/>
      <c r="C395" s="169"/>
      <c r="D395" s="169"/>
      <c r="E395" s="169"/>
      <c r="F395" s="169"/>
      <c r="G395" s="169"/>
      <c r="H395" s="169"/>
      <c r="I395" s="169"/>
    </row>
    <row r="396" spans="1:9" ht="12.75">
      <c r="A396" s="169"/>
      <c r="B396" s="169"/>
      <c r="C396" s="169"/>
      <c r="D396" s="169"/>
      <c r="E396" s="169"/>
      <c r="F396" s="169"/>
      <c r="G396" s="169"/>
      <c r="H396" s="169"/>
      <c r="I396" s="169"/>
    </row>
    <row r="397" spans="1:9" ht="12.75">
      <c r="A397" s="169"/>
      <c r="B397" s="169"/>
      <c r="C397" s="169"/>
      <c r="D397" s="169"/>
      <c r="E397" s="169"/>
      <c r="F397" s="169"/>
      <c r="G397" s="169"/>
      <c r="H397" s="169"/>
      <c r="I397" s="169"/>
    </row>
    <row r="398" spans="1:9" ht="12.75">
      <c r="A398" s="169"/>
      <c r="B398" s="169"/>
      <c r="C398" s="169"/>
      <c r="D398" s="169"/>
      <c r="E398" s="169"/>
      <c r="F398" s="169"/>
      <c r="G398" s="169"/>
      <c r="H398" s="169"/>
      <c r="I398" s="169"/>
    </row>
    <row r="399" spans="1:9" ht="12.75">
      <c r="A399" s="169"/>
      <c r="B399" s="169"/>
      <c r="C399" s="169"/>
      <c r="D399" s="169"/>
      <c r="E399" s="169"/>
      <c r="F399" s="169"/>
      <c r="G399" s="169"/>
      <c r="H399" s="169"/>
      <c r="I399" s="169"/>
    </row>
    <row r="400" spans="1:9" ht="12.75">
      <c r="A400" s="169"/>
      <c r="B400" s="169"/>
      <c r="C400" s="169"/>
      <c r="D400" s="169"/>
      <c r="E400" s="169"/>
      <c r="F400" s="169"/>
      <c r="G400" s="169"/>
      <c r="H400" s="169"/>
      <c r="I400" s="169"/>
    </row>
    <row r="401" spans="1:9" ht="12.75">
      <c r="A401" s="169"/>
      <c r="B401" s="169"/>
      <c r="C401" s="169"/>
      <c r="D401" s="169"/>
      <c r="E401" s="169"/>
      <c r="F401" s="169"/>
      <c r="G401" s="169"/>
      <c r="H401" s="169"/>
      <c r="I401" s="169"/>
    </row>
    <row r="402" spans="1:9" ht="12.75">
      <c r="A402" s="169"/>
      <c r="B402" s="169"/>
      <c r="C402" s="169"/>
      <c r="D402" s="169"/>
      <c r="E402" s="169"/>
      <c r="F402" s="169"/>
      <c r="G402" s="169"/>
      <c r="H402" s="169"/>
      <c r="I402" s="169"/>
    </row>
    <row r="403" spans="1:9" ht="12.75">
      <c r="A403" s="169"/>
      <c r="B403" s="169"/>
      <c r="C403" s="169"/>
      <c r="D403" s="169"/>
      <c r="E403" s="169"/>
      <c r="F403" s="169"/>
      <c r="G403" s="169"/>
      <c r="H403" s="169"/>
      <c r="I403" s="169"/>
    </row>
    <row r="404" spans="1:9" ht="12.75">
      <c r="A404" s="169"/>
      <c r="B404" s="169"/>
      <c r="C404" s="169"/>
      <c r="D404" s="169"/>
      <c r="E404" s="169"/>
      <c r="F404" s="169"/>
      <c r="G404" s="169"/>
      <c r="H404" s="169"/>
      <c r="I404" s="169"/>
    </row>
    <row r="405" spans="1:9" ht="12.75">
      <c r="A405" s="169"/>
      <c r="B405" s="169"/>
      <c r="C405" s="169"/>
      <c r="D405" s="169"/>
      <c r="E405" s="169"/>
      <c r="F405" s="169"/>
      <c r="G405" s="169"/>
      <c r="H405" s="169"/>
      <c r="I405" s="169"/>
    </row>
    <row r="406" spans="1:9" ht="12.75">
      <c r="A406" s="169"/>
      <c r="B406" s="169"/>
      <c r="C406" s="169"/>
      <c r="D406" s="169"/>
      <c r="E406" s="169"/>
      <c r="F406" s="169"/>
      <c r="G406" s="169"/>
      <c r="H406" s="169"/>
      <c r="I406" s="169"/>
    </row>
    <row r="407" spans="1:9" ht="12.75">
      <c r="A407" s="169"/>
      <c r="B407" s="169"/>
      <c r="C407" s="169"/>
      <c r="D407" s="169"/>
      <c r="E407" s="169"/>
      <c r="F407" s="169"/>
      <c r="G407" s="169"/>
      <c r="H407" s="169"/>
      <c r="I407" s="169"/>
    </row>
    <row r="408" spans="1:9" ht="12.75">
      <c r="A408" s="169"/>
      <c r="B408" s="169"/>
      <c r="C408" s="169"/>
      <c r="D408" s="169"/>
      <c r="E408" s="169"/>
      <c r="F408" s="169"/>
      <c r="G408" s="169"/>
      <c r="H408" s="169"/>
      <c r="I408" s="169"/>
    </row>
    <row r="409" spans="1:9" ht="12.75">
      <c r="A409" s="169"/>
      <c r="B409" s="169"/>
      <c r="C409" s="169"/>
      <c r="D409" s="169"/>
      <c r="E409" s="169"/>
      <c r="F409" s="169"/>
      <c r="G409" s="169"/>
      <c r="H409" s="169"/>
      <c r="I409" s="169"/>
    </row>
    <row r="410" spans="1:9" ht="12.75">
      <c r="A410" s="169"/>
      <c r="B410" s="169"/>
      <c r="C410" s="169"/>
      <c r="D410" s="169"/>
      <c r="E410" s="169"/>
      <c r="F410" s="169"/>
      <c r="G410" s="169"/>
      <c r="H410" s="169"/>
      <c r="I410" s="169"/>
    </row>
    <row r="411" spans="1:9" ht="12.75">
      <c r="A411" s="169"/>
      <c r="B411" s="169"/>
      <c r="C411" s="169"/>
      <c r="D411" s="169"/>
      <c r="E411" s="169"/>
      <c r="F411" s="169"/>
      <c r="G411" s="169"/>
      <c r="H411" s="169"/>
      <c r="I411" s="169"/>
    </row>
    <row r="412" spans="1:9" ht="12.75">
      <c r="A412" s="169"/>
      <c r="B412" s="169"/>
      <c r="C412" s="169"/>
      <c r="D412" s="169"/>
      <c r="E412" s="169"/>
      <c r="F412" s="169"/>
      <c r="G412" s="169"/>
      <c r="H412" s="169"/>
      <c r="I412" s="169"/>
    </row>
    <row r="413" spans="1:3" ht="12.75">
      <c r="A413" s="169"/>
      <c r="B413" s="169"/>
      <c r="C413" s="169"/>
    </row>
    <row r="414" spans="1:3" ht="12.75">
      <c r="A414" s="169"/>
      <c r="B414" s="169"/>
      <c r="C414" s="169"/>
    </row>
    <row r="415" spans="1:3" ht="12.75">
      <c r="A415" s="169"/>
      <c r="B415" s="169"/>
      <c r="C415" s="169"/>
    </row>
    <row r="416" spans="1:3" ht="12.75">
      <c r="A416" s="169"/>
      <c r="B416" s="169"/>
      <c r="C416" s="169"/>
    </row>
    <row r="417" spans="1:3" ht="12.75">
      <c r="A417" s="169"/>
      <c r="B417" s="169"/>
      <c r="C417" s="169"/>
    </row>
    <row r="418" spans="1:3" ht="12.75">
      <c r="A418" s="169"/>
      <c r="B418" s="169"/>
      <c r="C418" s="169"/>
    </row>
    <row r="419" spans="1:3" ht="12.75">
      <c r="A419" s="169"/>
      <c r="B419" s="169"/>
      <c r="C419" s="169"/>
    </row>
    <row r="420" spans="1:3" ht="12.75">
      <c r="A420" s="169"/>
      <c r="B420" s="169"/>
      <c r="C420" s="169"/>
    </row>
    <row r="421" spans="1:3" ht="12.75">
      <c r="A421" s="169"/>
      <c r="B421" s="169"/>
      <c r="C421" s="169"/>
    </row>
    <row r="422" spans="1:3" ht="12.75">
      <c r="A422" s="169"/>
      <c r="B422" s="169"/>
      <c r="C422" s="169"/>
    </row>
    <row r="423" spans="1:3" ht="12.75">
      <c r="A423" s="169"/>
      <c r="B423" s="169"/>
      <c r="C423" s="169"/>
    </row>
    <row r="424" spans="1:3" ht="12.75">
      <c r="A424" s="169"/>
      <c r="B424" s="169"/>
      <c r="C424" s="169"/>
    </row>
    <row r="425" spans="1:3" ht="12.75">
      <c r="A425" s="169"/>
      <c r="B425" s="169"/>
      <c r="C425" s="169"/>
    </row>
    <row r="426" spans="1:3" ht="12.75">
      <c r="A426" s="169"/>
      <c r="B426" s="169"/>
      <c r="C426" s="169"/>
    </row>
    <row r="427" spans="1:3" ht="12.75">
      <c r="A427" s="169"/>
      <c r="B427" s="169"/>
      <c r="C427" s="169"/>
    </row>
    <row r="428" ht="12.75">
      <c r="A428" s="210"/>
    </row>
    <row r="429" ht="12.75">
      <c r="A429" s="210"/>
    </row>
  </sheetData>
  <sheetProtection password="98F7" sheet="1" objects="1" scenarios="1"/>
  <mergeCells count="27">
    <mergeCell ref="AL37:AO37"/>
    <mergeCell ref="AL42:AO42"/>
    <mergeCell ref="AC172:AF172"/>
    <mergeCell ref="AL46:AO46"/>
    <mergeCell ref="AL51:AO51"/>
    <mergeCell ref="AL55:AO55"/>
    <mergeCell ref="AL60:AO60"/>
    <mergeCell ref="AL64:AO64"/>
    <mergeCell ref="AL76:AO76"/>
    <mergeCell ref="AL80:AO80"/>
    <mergeCell ref="B60:E60"/>
    <mergeCell ref="B77:E77"/>
    <mergeCell ref="B78:E78"/>
    <mergeCell ref="B54:E54"/>
    <mergeCell ref="B55:E55"/>
    <mergeCell ref="B56:E56"/>
    <mergeCell ref="B57:E57"/>
    <mergeCell ref="N15:R15"/>
    <mergeCell ref="N16:R16"/>
    <mergeCell ref="C15:I15"/>
    <mergeCell ref="B79:E79"/>
    <mergeCell ref="B65:E65"/>
    <mergeCell ref="B61:E61"/>
    <mergeCell ref="B62:E62"/>
    <mergeCell ref="B63:E63"/>
    <mergeCell ref="B64:E64"/>
    <mergeCell ref="B58:E58"/>
  </mergeCells>
  <conditionalFormatting sqref="D208">
    <cfRule type="expression" priority="1" dxfId="0" stopIfTrue="1">
      <formula>L208=0</formula>
    </cfRule>
  </conditionalFormatting>
  <conditionalFormatting sqref="K103:K111">
    <cfRule type="cellIs" priority="2" dxfId="0" operator="greaterThan" stopIfTrue="1">
      <formula>$X103</formula>
    </cfRule>
  </conditionalFormatting>
  <conditionalFormatting sqref="J41">
    <cfRule type="expression" priority="3" dxfId="1" stopIfTrue="1">
      <formula>OR(AND($H$41&lt;0,$G$41&lt;ABS(H41)),I41&gt;365)</formula>
    </cfRule>
  </conditionalFormatting>
  <conditionalFormatting sqref="J72:J79 J60:J65 J42:J44 J46:J58 K72:K75">
    <cfRule type="expression" priority="4" dxfId="1" stopIfTrue="1">
      <formula>OR(AND($H42&lt;0,$G42&lt;ABS(H42)),I42&gt;365)</formula>
    </cfRule>
  </conditionalFormatting>
  <conditionalFormatting sqref="J45">
    <cfRule type="expression" priority="5" dxfId="1" stopIfTrue="1">
      <formula>I45&gt;365</formula>
    </cfRule>
  </conditionalFormatting>
  <conditionalFormatting sqref="K154">
    <cfRule type="expression" priority="6" dxfId="0" stopIfTrue="1">
      <formula>V154=0</formula>
    </cfRule>
  </conditionalFormatting>
  <conditionalFormatting sqref="K208">
    <cfRule type="expression" priority="7" dxfId="1" stopIfTrue="1">
      <formula>$K$172+$I$172&lt;$K$208</formula>
    </cfRule>
  </conditionalFormatting>
  <conditionalFormatting sqref="E211">
    <cfRule type="expression" priority="8" dxfId="2" stopIfTrue="1">
      <formula>OR(AND($U$11=1,$W$170="ok"),AND($U$11=2,$X$170="ok"))</formula>
    </cfRule>
    <cfRule type="expression" priority="9" dxfId="1" stopIfTrue="1">
      <formula>OR(AND($U$11=1,$W$170="nein"),AND($U$11=2,$X$170="nein"))</formula>
    </cfRule>
  </conditionalFormatting>
  <conditionalFormatting sqref="E212">
    <cfRule type="expression" priority="10" dxfId="2" stopIfTrue="1">
      <formula>OR(AND($U$11=1,$W$171="ok"),AND($U$11=2,$X$171="ok"))</formula>
    </cfRule>
    <cfRule type="expression" priority="11" dxfId="1" stopIfTrue="1">
      <formula>OR(AND($U$11=1,$W$171="nein"),AND($U$11=2,$X$171="nein"))</formula>
    </cfRule>
  </conditionalFormatting>
  <conditionalFormatting sqref="E213">
    <cfRule type="expression" priority="12" dxfId="2" stopIfTrue="1">
      <formula>OR(AND($U$11=1,$W$172="ok"),AND($U$11=2,$X$172="ok"))</formula>
    </cfRule>
    <cfRule type="expression" priority="13" dxfId="1" stopIfTrue="1">
      <formula>OR(AND($U$11=1,$W$172="nein"),AND($U$11=2,$X$172="nein"))</formula>
    </cfRule>
  </conditionalFormatting>
  <conditionalFormatting sqref="M175:M177">
    <cfRule type="expression" priority="14" dxfId="2" stopIfTrue="1">
      <formula>$W$179=1</formula>
    </cfRule>
    <cfRule type="expression" priority="15" dxfId="1" stopIfTrue="1">
      <formula>$W$179=2</formula>
    </cfRule>
  </conditionalFormatting>
  <conditionalFormatting sqref="K155">
    <cfRule type="cellIs" priority="16" dxfId="3" operator="greaterThan" stopIfTrue="1">
      <formula>5</formula>
    </cfRule>
  </conditionalFormatting>
  <conditionalFormatting sqref="I172">
    <cfRule type="expression" priority="17" dxfId="1" stopIfTrue="1">
      <formula>OR(AND($U$11=1,$I$172&lt;$W$160),AND($U$11=2,$I$172&lt;$X$160))</formula>
    </cfRule>
  </conditionalFormatting>
  <conditionalFormatting sqref="M172">
    <cfRule type="expression" priority="18" dxfId="1" stopIfTrue="1">
      <formula>OR(AND($U$11=1,$W$172="nein"),AND($U$11=2,$X$172="nein"))</formula>
    </cfRule>
  </conditionalFormatting>
  <conditionalFormatting sqref="K172">
    <cfRule type="expression" priority="19" dxfId="1" stopIfTrue="1">
      <formula>OR(AND($U$11=1,$W$171="nein"),AND($U$11=2,$X$171="nein"))</formula>
    </cfRule>
  </conditionalFormatting>
  <conditionalFormatting sqref="AI165:AK166">
    <cfRule type="expression" priority="20" dxfId="4" stopIfTrue="1">
      <formula>$U$11=""</formula>
    </cfRule>
  </conditionalFormatting>
  <conditionalFormatting sqref="L111">
    <cfRule type="expression" priority="21" dxfId="0" stopIfTrue="1">
      <formula>AND(ROUND($L$111,0)&lt;&gt;0,$J$111="")</formula>
    </cfRule>
  </conditionalFormatting>
  <conditionalFormatting sqref="R175:R177">
    <cfRule type="expression" priority="22" dxfId="2" stopIfTrue="1">
      <formula>$W$181=1</formula>
    </cfRule>
    <cfRule type="expression" priority="23" dxfId="1" stopIfTrue="1">
      <formula>$W$181=2</formula>
    </cfRule>
  </conditionalFormatting>
  <dataValidations count="9">
    <dataValidation type="list" allowBlank="1" showInputMessage="1" showErrorMessage="1" sqref="N16">
      <formula1>$AA$8:$AA$13</formula1>
    </dataValidation>
    <dataValidation type="list" allowBlank="1" showInputMessage="1" showErrorMessage="1" sqref="N15">
      <formula1>$X$8:$X$11</formula1>
    </dataValidation>
    <dataValidation type="list" allowBlank="1" showInputMessage="1" showErrorMessage="1" sqref="H141 H134 H136 H130">
      <formula1>$V$125:$V$127</formula1>
    </dataValidation>
    <dataValidation type="list" allowBlank="1" showInputMessage="1" showErrorMessage="1" sqref="H125:H129 H135 H131:H133">
      <formula1>$V$123:$V$125</formula1>
    </dataValidation>
    <dataValidation type="list" allowBlank="1" showInputMessage="1" showErrorMessage="1" sqref="M33:M34">
      <formula1>$U$14:$U$16</formula1>
    </dataValidation>
    <dataValidation type="list" allowBlank="1" showInputMessage="1" showErrorMessage="1" sqref="B54:E58">
      <formula1>$A$268:$A$273</formula1>
    </dataValidation>
    <dataValidation type="list" allowBlank="1" showInputMessage="1" showErrorMessage="1" sqref="B62:E66">
      <formula1>$A$275:$A$293</formula1>
    </dataValidation>
    <dataValidation type="list" allowBlank="1" showInputMessage="1" showErrorMessage="1" sqref="B77:E79">
      <formula1>$A$301:$A$307</formula1>
    </dataValidation>
    <dataValidation type="list" allowBlank="1" showInputMessage="1" showErrorMessage="1" sqref="C15">
      <formula1>$U$8:$U$10</formula1>
    </dataValidation>
  </dataValidations>
  <printOptions/>
  <pageMargins left="0.71" right="0.19" top="0.61" bottom="0.52" header="0.23" footer="0.28"/>
  <pageSetup fitToHeight="2" horizontalDpi="600" verticalDpi="600" orientation="portrait" paperSize="9" scale="53" r:id="rId3"/>
  <headerFooter alignWithMargins="0">
    <oddFooter>&amp;L&amp;"Arial,Fett"&amp;11© AGRIDEA, BLW&amp;"Arial,Standard"&amp;10  &amp;9GMF / PLVH / PLCSI Version 1.3&amp;C&amp;9&amp;F&amp;R&amp;9&amp;P</oddFooter>
  </headerFooter>
  <rowBreaks count="1" manualBreakCount="1">
    <brk id="93" min="1" max="18" man="1"/>
  </rowBreaks>
  <colBreaks count="1" manualBreakCount="1">
    <brk id="19" min="1" max="183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Q58"/>
  <sheetViews>
    <sheetView showGridLines="0" showRowColHeaders="0" workbookViewId="0" topLeftCell="A1">
      <selection activeCell="A1" sqref="A1"/>
    </sheetView>
  </sheetViews>
  <sheetFormatPr defaultColWidth="11.421875" defaultRowHeight="12.75"/>
  <cols>
    <col min="1" max="1" width="2.28125" style="1" customWidth="1"/>
    <col min="2" max="2" width="46.57421875" style="1" customWidth="1"/>
    <col min="3" max="3" width="7.7109375" style="1" customWidth="1"/>
    <col min="4" max="4" width="7.57421875" style="1" customWidth="1"/>
    <col min="5" max="5" width="8.00390625" style="1" customWidth="1"/>
    <col min="6" max="6" width="11.140625" style="14" customWidth="1"/>
    <col min="7" max="7" width="29.57421875" style="1" customWidth="1"/>
    <col min="8" max="16384" width="12.57421875" style="1" customWidth="1"/>
  </cols>
  <sheetData>
    <row r="1" spans="2:6" ht="6.75" customHeight="1">
      <c r="B1" s="13"/>
      <c r="C1" s="13"/>
      <c r="D1" s="13"/>
      <c r="E1" s="13"/>
      <c r="F1" s="80"/>
    </row>
    <row r="2" spans="1:6" ht="23.25">
      <c r="A2" s="15"/>
      <c r="B2" s="139" t="str">
        <f>Texte!A343</f>
        <v>Normes animaux</v>
      </c>
      <c r="C2" s="139"/>
      <c r="D2" s="139"/>
      <c r="E2" s="139"/>
      <c r="F2" s="139"/>
    </row>
    <row r="3" spans="1:6" ht="23.25">
      <c r="A3" s="15"/>
      <c r="B3" s="15"/>
      <c r="C3" s="16"/>
      <c r="D3" s="15"/>
      <c r="E3" s="15"/>
      <c r="F3" s="81"/>
    </row>
    <row r="4" spans="1:6" ht="14.25" customHeight="1">
      <c r="A4" s="17"/>
      <c r="B4" s="18"/>
      <c r="C4" s="19"/>
      <c r="D4" s="797" t="str">
        <f>Texte!A346</f>
        <v>Consommation</v>
      </c>
      <c r="E4" s="798"/>
      <c r="F4" s="128" t="str">
        <f>Texte!A350</f>
        <v>Facteur</v>
      </c>
    </row>
    <row r="5" spans="1:9" ht="14.25" customHeight="1">
      <c r="A5" s="20"/>
      <c r="B5" s="21"/>
      <c r="C5" s="22"/>
      <c r="D5" s="799" t="str">
        <f>Texte!A347</f>
        <v>de fourrage</v>
      </c>
      <c r="E5" s="800"/>
      <c r="F5" s="129" t="str">
        <f>Texte!A351</f>
        <v>UGB</v>
      </c>
      <c r="G5" s="157" t="s">
        <v>353</v>
      </c>
      <c r="H5" s="157" t="s">
        <v>354</v>
      </c>
      <c r="I5" s="157"/>
    </row>
    <row r="6" spans="1:9" ht="13.5" customHeight="1">
      <c r="A6" s="17"/>
      <c r="B6" s="23" t="str">
        <f>Texte!A344</f>
        <v>Catégorie d'animal</v>
      </c>
      <c r="C6" s="24" t="str">
        <f>Texte!A345</f>
        <v>Unité</v>
      </c>
      <c r="D6" s="25" t="str">
        <f>Texte!A348</f>
        <v>MS/jour</v>
      </c>
      <c r="E6" s="26" t="str">
        <f>Texte!A349</f>
        <v>MS/an</v>
      </c>
      <c r="F6" s="127"/>
      <c r="G6" s="157"/>
      <c r="H6" s="157"/>
      <c r="I6" s="157"/>
    </row>
    <row r="7" spans="1:9" ht="23.25">
      <c r="A7" s="20"/>
      <c r="B7" s="27"/>
      <c r="C7" s="28"/>
      <c r="D7" s="29" t="s">
        <v>173</v>
      </c>
      <c r="E7" s="30" t="s">
        <v>342</v>
      </c>
      <c r="F7" s="127"/>
      <c r="G7" s="157"/>
      <c r="H7" s="157"/>
      <c r="I7" s="157"/>
    </row>
    <row r="8" spans="2:17" ht="12.75">
      <c r="B8" s="31" t="str">
        <f>Texte!A122</f>
        <v>Vache laitière</v>
      </c>
      <c r="C8" s="32" t="str">
        <f>Texte!A354</f>
        <v>1 bête</v>
      </c>
      <c r="D8" s="122">
        <v>15.9</v>
      </c>
      <c r="E8" s="123">
        <v>58</v>
      </c>
      <c r="F8" s="130">
        <v>1</v>
      </c>
      <c r="G8" s="157"/>
      <c r="H8" s="157"/>
      <c r="I8" s="157"/>
      <c r="J8" s="49"/>
      <c r="K8" s="49"/>
      <c r="L8" s="49"/>
      <c r="M8" s="48"/>
      <c r="N8" s="48"/>
      <c r="O8" s="48"/>
      <c r="P8" s="48"/>
      <c r="Q8" s="48"/>
    </row>
    <row r="9" spans="2:17" ht="12.75">
      <c r="B9" s="53" t="str">
        <f>Texte!A123</f>
        <v>Autre vache</v>
      </c>
      <c r="C9" s="54" t="str">
        <f>Texte!A354</f>
        <v>1 bête</v>
      </c>
      <c r="D9" s="125">
        <v>15.9</v>
      </c>
      <c r="E9" s="126">
        <v>58</v>
      </c>
      <c r="F9" s="131">
        <v>1</v>
      </c>
      <c r="G9" s="157"/>
      <c r="H9" s="157"/>
      <c r="I9" s="157"/>
      <c r="J9" s="49"/>
      <c r="K9" s="49"/>
      <c r="L9" s="49"/>
      <c r="M9" s="48"/>
      <c r="N9" s="48"/>
      <c r="O9" s="48"/>
      <c r="P9" s="48"/>
      <c r="Q9" s="48"/>
    </row>
    <row r="10" spans="2:17" ht="12.75">
      <c r="B10" s="33" t="str">
        <f>Texte!A124</f>
        <v>Vache mère lourde (PV 700-800 kg), sans veau</v>
      </c>
      <c r="C10" s="35" t="str">
        <f>Texte!A354</f>
        <v>1 bête</v>
      </c>
      <c r="D10" s="124">
        <v>13.7</v>
      </c>
      <c r="E10" s="54">
        <v>50</v>
      </c>
      <c r="F10" s="131">
        <v>1</v>
      </c>
      <c r="G10" s="157"/>
      <c r="H10" s="157"/>
      <c r="I10" s="157"/>
      <c r="J10" s="49"/>
      <c r="K10" s="49"/>
      <c r="L10" s="49"/>
      <c r="M10" s="48"/>
      <c r="N10" s="48"/>
      <c r="O10" s="48"/>
      <c r="P10" s="48"/>
      <c r="Q10" s="48"/>
    </row>
    <row r="11" spans="2:17" ht="12.75">
      <c r="B11" s="33" t="str">
        <f>Texte!A125</f>
        <v>Vache mère moyenne (PV 600-700 kg), sans veau</v>
      </c>
      <c r="C11" s="35" t="str">
        <f>Texte!A354</f>
        <v>1 bête</v>
      </c>
      <c r="D11" s="34">
        <v>12.3</v>
      </c>
      <c r="E11" s="35">
        <v>45</v>
      </c>
      <c r="F11" s="131">
        <v>1</v>
      </c>
      <c r="G11" s="157"/>
      <c r="H11" s="157"/>
      <c r="I11" s="157"/>
      <c r="J11" s="49"/>
      <c r="K11" s="49"/>
      <c r="L11" s="49"/>
      <c r="M11" s="48"/>
      <c r="N11" s="48"/>
      <c r="O11" s="48"/>
      <c r="P11" s="48"/>
      <c r="Q11" s="48"/>
    </row>
    <row r="12" spans="2:17" ht="12.75">
      <c r="B12" s="33" t="str">
        <f>Texte!A126</f>
        <v>Vache mère légère (PV &lt;600 kg), sans veau</v>
      </c>
      <c r="C12" s="35" t="str">
        <f>Texte!A354</f>
        <v>1 bête</v>
      </c>
      <c r="D12" s="731">
        <v>10.4</v>
      </c>
      <c r="E12" s="730">
        <v>38</v>
      </c>
      <c r="F12" s="131">
        <v>1</v>
      </c>
      <c r="G12" s="157"/>
      <c r="H12" s="157"/>
      <c r="I12" s="157"/>
      <c r="J12" s="49"/>
      <c r="K12" s="49"/>
      <c r="L12" s="49"/>
      <c r="M12" s="48"/>
      <c r="N12" s="48"/>
      <c r="O12" s="48"/>
      <c r="P12" s="48"/>
      <c r="Q12" s="48"/>
    </row>
    <row r="13" spans="2:17" ht="12.75">
      <c r="B13" s="36" t="str">
        <f>Texte!A127</f>
        <v>Vache nourrice, 2 veaux par an, sans veau</v>
      </c>
      <c r="C13" s="38" t="str">
        <f>Texte!A354</f>
        <v>1 bête</v>
      </c>
      <c r="D13" s="37">
        <v>12.3</v>
      </c>
      <c r="E13" s="38">
        <v>45</v>
      </c>
      <c r="F13" s="131">
        <v>1</v>
      </c>
      <c r="G13" s="157"/>
      <c r="H13" s="157"/>
      <c r="I13" s="157"/>
      <c r="J13" s="48"/>
      <c r="K13" s="48"/>
      <c r="L13" s="48"/>
      <c r="M13" s="48"/>
      <c r="N13" s="48"/>
      <c r="O13" s="48"/>
      <c r="P13" s="48"/>
      <c r="Q13" s="48"/>
    </row>
    <row r="14" spans="2:17" ht="12.75">
      <c r="B14" s="33" t="str">
        <f>Texte!A128</f>
        <v>Bovin d'élevage, moins de 1 an</v>
      </c>
      <c r="C14" s="70" t="str">
        <f>Texte!A354</f>
        <v>1 bête</v>
      </c>
      <c r="D14" s="34">
        <v>3</v>
      </c>
      <c r="E14" s="35">
        <v>11</v>
      </c>
      <c r="F14" s="134">
        <f>(160*0.13+205*0.33)/365</f>
        <v>0.24232876712328769</v>
      </c>
      <c r="G14" s="157" t="s">
        <v>352</v>
      </c>
      <c r="H14" s="157" t="s">
        <v>142</v>
      </c>
      <c r="I14" s="157"/>
      <c r="J14" s="48"/>
      <c r="K14" s="48"/>
      <c r="L14" s="48"/>
      <c r="M14" s="48"/>
      <c r="N14" s="48"/>
      <c r="O14" s="48"/>
      <c r="P14" s="48"/>
      <c r="Q14" s="48"/>
    </row>
    <row r="15" spans="2:17" ht="12.75">
      <c r="B15" s="33" t="str">
        <f>Texte!A129</f>
        <v>Bovin d'élevage, 1 à 2 ans</v>
      </c>
      <c r="C15" s="70" t="str">
        <f>Texte!A354</f>
        <v>1 bête</v>
      </c>
      <c r="D15" s="34">
        <v>6</v>
      </c>
      <c r="E15" s="35">
        <v>22</v>
      </c>
      <c r="F15" s="131">
        <v>0.4</v>
      </c>
      <c r="G15" s="157"/>
      <c r="H15" s="157"/>
      <c r="I15" s="157"/>
      <c r="J15" s="48"/>
      <c r="K15" s="48"/>
      <c r="L15" s="48"/>
      <c r="M15" s="48"/>
      <c r="N15" s="48"/>
      <c r="O15" s="48"/>
      <c r="P15" s="48"/>
      <c r="Q15" s="48"/>
    </row>
    <row r="16" spans="2:17" ht="12.75">
      <c r="B16" s="36" t="str">
        <f>Texte!A130</f>
        <v>Génisse, plus de 2 ans</v>
      </c>
      <c r="C16" s="38" t="str">
        <f>Texte!A355</f>
        <v>1 place</v>
      </c>
      <c r="D16" s="37">
        <v>9</v>
      </c>
      <c r="E16" s="38">
        <v>33</v>
      </c>
      <c r="F16" s="131">
        <v>0.6</v>
      </c>
      <c r="G16" s="157"/>
      <c r="H16" s="157"/>
      <c r="I16" s="157"/>
      <c r="J16" s="48"/>
      <c r="K16" s="48"/>
      <c r="L16" s="48"/>
      <c r="M16" s="48"/>
      <c r="N16" s="48"/>
      <c r="O16" s="48"/>
      <c r="P16" s="48"/>
      <c r="Q16" s="48"/>
    </row>
    <row r="17" spans="2:17" ht="12.75">
      <c r="B17" s="33" t="str">
        <f>Texte!A131</f>
        <v>Veau à l'engrais, 50-200 kg</v>
      </c>
      <c r="C17" s="70" t="str">
        <f>Texte!A355</f>
        <v>1 place</v>
      </c>
      <c r="D17" s="34">
        <v>0.3</v>
      </c>
      <c r="E17" s="39">
        <v>1.2</v>
      </c>
      <c r="F17" s="134">
        <v>0.1</v>
      </c>
      <c r="G17" s="157"/>
      <c r="H17" s="157"/>
      <c r="I17" s="157"/>
      <c r="J17" s="48"/>
      <c r="K17" s="48"/>
      <c r="L17" s="48"/>
      <c r="M17" s="48"/>
      <c r="N17" s="48"/>
      <c r="O17" s="48"/>
      <c r="P17" s="48"/>
      <c r="Q17" s="48"/>
    </row>
    <row r="18" spans="2:17" ht="12.75">
      <c r="B18" s="33" t="str">
        <f>Texte!A132</f>
        <v>Veau allaité jusqu'à env. 350 kg PV</v>
      </c>
      <c r="C18" s="70" t="str">
        <f>Texte!A355</f>
        <v>1 place</v>
      </c>
      <c r="D18" s="34">
        <v>3.6</v>
      </c>
      <c r="E18" s="39">
        <v>13.2</v>
      </c>
      <c r="F18" s="131">
        <f>(160*0.13+140*0.33)/300</f>
        <v>0.22333333333333333</v>
      </c>
      <c r="G18" s="157" t="s">
        <v>355</v>
      </c>
      <c r="H18" s="157" t="s">
        <v>143</v>
      </c>
      <c r="I18" s="157"/>
      <c r="J18" s="48"/>
      <c r="K18" s="48"/>
      <c r="L18" s="48"/>
      <c r="M18" s="48"/>
      <c r="N18" s="48"/>
      <c r="O18" s="48"/>
      <c r="P18" s="48"/>
      <c r="Q18" s="48"/>
    </row>
    <row r="19" spans="2:17" ht="12.75">
      <c r="B19" s="36" t="str">
        <f>Texte!A133</f>
        <v>Veau allaité jusqu'à env. 400 kg PV</v>
      </c>
      <c r="C19" s="38" t="str">
        <f>Texte!A355</f>
        <v>1 place</v>
      </c>
      <c r="D19" s="37">
        <v>5.3</v>
      </c>
      <c r="E19" s="40">
        <v>19.2</v>
      </c>
      <c r="F19" s="131">
        <f>(160*0.13+140*0.33)/300</f>
        <v>0.22333333333333333</v>
      </c>
      <c r="G19" s="157" t="s">
        <v>355</v>
      </c>
      <c r="H19" s="157" t="s">
        <v>143</v>
      </c>
      <c r="I19" s="157"/>
      <c r="J19" s="48"/>
      <c r="K19" s="48"/>
      <c r="L19" s="48"/>
      <c r="M19" s="48"/>
      <c r="N19" s="48"/>
      <c r="O19" s="48"/>
      <c r="P19" s="48"/>
      <c r="Q19" s="48"/>
    </row>
    <row r="20" spans="2:17" ht="12.75">
      <c r="B20" s="33" t="str">
        <f>Texte!A134</f>
        <v>Bovin à l'engrais, intensif, 65-520 kg</v>
      </c>
      <c r="C20" s="70" t="str">
        <f>Texte!A355</f>
        <v>1 place</v>
      </c>
      <c r="D20" s="34">
        <v>3.8</v>
      </c>
      <c r="E20" s="35">
        <v>14</v>
      </c>
      <c r="F20" s="135">
        <f>(160*0.13+205*0.33+60*0.4)/400</f>
        <v>0.281125</v>
      </c>
      <c r="G20" s="158" t="s">
        <v>487</v>
      </c>
      <c r="H20" s="158" t="s">
        <v>140</v>
      </c>
      <c r="I20" s="157"/>
      <c r="J20" s="48"/>
      <c r="K20" s="48"/>
      <c r="L20" s="48"/>
      <c r="M20" s="48"/>
      <c r="N20" s="48"/>
      <c r="O20" s="48"/>
      <c r="P20" s="48"/>
      <c r="Q20" s="48"/>
    </row>
    <row r="21" spans="2:17" ht="12.75">
      <c r="B21" s="33" t="str">
        <f>Texte!A135</f>
        <v>Bovin à l'engrais, sevrage, &lt; 4 mois</v>
      </c>
      <c r="C21" s="70" t="str">
        <f>Texte!A355</f>
        <v>1 place</v>
      </c>
      <c r="D21" s="34">
        <v>0.4</v>
      </c>
      <c r="E21" s="41">
        <v>1.5</v>
      </c>
      <c r="F21" s="131">
        <v>0.13</v>
      </c>
      <c r="G21" s="500">
        <v>0.13</v>
      </c>
      <c r="H21" s="159">
        <v>0.1</v>
      </c>
      <c r="I21" s="157"/>
      <c r="J21" s="48"/>
      <c r="K21" s="48"/>
      <c r="L21" s="48"/>
      <c r="M21" s="48"/>
      <c r="N21" s="48"/>
      <c r="O21" s="48"/>
      <c r="P21" s="48"/>
      <c r="Q21" s="48"/>
    </row>
    <row r="22" spans="2:17" ht="12.75">
      <c r="B22" s="33" t="str">
        <f>Texte!A136</f>
        <v>Bovin à l'engrais, intensif, &gt; 4 mois</v>
      </c>
      <c r="C22" s="70" t="str">
        <f>Texte!A355</f>
        <v>1 place</v>
      </c>
      <c r="D22" s="34">
        <v>4.7</v>
      </c>
      <c r="E22" s="35">
        <v>17</v>
      </c>
      <c r="F22" s="131">
        <f>(40*0.13+205*0.33+60*0.4)/365</f>
        <v>0.2653424657534247</v>
      </c>
      <c r="G22" s="157" t="s">
        <v>356</v>
      </c>
      <c r="H22" s="157" t="s">
        <v>145</v>
      </c>
      <c r="I22" s="157"/>
      <c r="J22" s="48"/>
      <c r="K22" s="48"/>
      <c r="L22" s="48"/>
      <c r="M22" s="48"/>
      <c r="N22" s="48"/>
      <c r="O22" s="48"/>
      <c r="P22" s="48"/>
      <c r="Q22" s="48"/>
    </row>
    <row r="23" spans="2:17" ht="12.75">
      <c r="B23" s="33" t="str">
        <f>Texte!A137</f>
        <v>Bovin à l'engrais, pâturage, &gt; 4 mois</v>
      </c>
      <c r="C23" s="70" t="str">
        <f>Texte!A355</f>
        <v>1 place</v>
      </c>
      <c r="D23" s="34">
        <v>6.6</v>
      </c>
      <c r="E23" s="35">
        <v>24</v>
      </c>
      <c r="F23" s="131">
        <f>(40*0.13+205*0.33+365*0.4)/610</f>
        <v>0.35877049180327875</v>
      </c>
      <c r="G23" s="157" t="s">
        <v>357</v>
      </c>
      <c r="H23" s="157" t="s">
        <v>144</v>
      </c>
      <c r="I23" s="157"/>
      <c r="J23" s="48"/>
      <c r="K23" s="48"/>
      <c r="L23" s="48"/>
      <c r="M23" s="48"/>
      <c r="N23" s="48"/>
      <c r="O23" s="48"/>
      <c r="P23" s="48"/>
      <c r="Q23" s="48"/>
    </row>
    <row r="24" spans="2:17" ht="12.75">
      <c r="B24" s="33" t="str">
        <f>Texte!A138</f>
        <v>Bovin à l'engrais finition (intensive)</v>
      </c>
      <c r="C24" s="70" t="str">
        <f>Texte!A355</f>
        <v>1 place</v>
      </c>
      <c r="D24" s="34">
        <v>5.8</v>
      </c>
      <c r="E24" s="35">
        <v>21</v>
      </c>
      <c r="F24" s="132">
        <f>(95*0.33+135*0.4)/365</f>
        <v>0.23383561643835615</v>
      </c>
      <c r="G24" s="157" t="s">
        <v>358</v>
      </c>
      <c r="H24" s="157" t="s">
        <v>141</v>
      </c>
      <c r="I24" s="157"/>
      <c r="J24" s="48"/>
      <c r="K24" s="48"/>
      <c r="L24" s="48"/>
      <c r="M24" s="48"/>
      <c r="N24" s="48"/>
      <c r="O24" s="48"/>
      <c r="P24" s="48"/>
      <c r="Q24" s="48"/>
    </row>
    <row r="25" spans="2:17" ht="12.75">
      <c r="B25" s="36" t="str">
        <f>Texte!A139</f>
        <v>Taureau d'élevage</v>
      </c>
      <c r="C25" s="38" t="str">
        <f>Texte!A354</f>
        <v>1 bête</v>
      </c>
      <c r="D25" s="37">
        <v>8.2</v>
      </c>
      <c r="E25" s="38">
        <v>30</v>
      </c>
      <c r="F25" s="131">
        <v>0.6</v>
      </c>
      <c r="G25" s="157"/>
      <c r="H25" s="157"/>
      <c r="I25" s="157"/>
      <c r="J25" s="48"/>
      <c r="K25" s="48"/>
      <c r="L25" s="48"/>
      <c r="M25" s="48"/>
      <c r="N25" s="48"/>
      <c r="O25" s="48"/>
      <c r="P25" s="48"/>
      <c r="Q25" s="48"/>
    </row>
    <row r="26" spans="2:17" ht="12.75">
      <c r="B26" s="33" t="str">
        <f>Texte!A142</f>
        <v>Jument avec poulain</v>
      </c>
      <c r="C26" s="70" t="str">
        <f>Texte!A354</f>
        <v>1 bête</v>
      </c>
      <c r="D26" s="34">
        <v>7.9</v>
      </c>
      <c r="E26" s="35">
        <v>29</v>
      </c>
      <c r="F26" s="134">
        <v>1</v>
      </c>
      <c r="G26" s="157"/>
      <c r="H26" s="157"/>
      <c r="I26" s="157"/>
      <c r="J26" s="48"/>
      <c r="K26" s="48"/>
      <c r="L26" s="48"/>
      <c r="M26" s="48"/>
      <c r="N26" s="48"/>
      <c r="O26" s="48"/>
      <c r="P26" s="48"/>
      <c r="Q26" s="48"/>
    </row>
    <row r="27" spans="2:9" ht="12.75">
      <c r="B27" s="33" t="str">
        <f>Texte!A143</f>
        <v>Jument avec poulain, concentré avoine (max. 700 kg)</v>
      </c>
      <c r="C27" s="70" t="str">
        <f>Texte!A354</f>
        <v>1 bête</v>
      </c>
      <c r="D27" s="34">
        <v>9.3</v>
      </c>
      <c r="E27" s="35">
        <v>34</v>
      </c>
      <c r="F27" s="131">
        <v>1</v>
      </c>
      <c r="G27" s="157"/>
      <c r="H27" s="157"/>
      <c r="I27" s="157"/>
    </row>
    <row r="28" spans="2:6" ht="12.75">
      <c r="B28" s="33" t="str">
        <f>Texte!A144</f>
        <v>Autre cheval de plus de 3 ans, PV 550 kg</v>
      </c>
      <c r="C28" s="70" t="str">
        <f>Texte!A354</f>
        <v>1 bête</v>
      </c>
      <c r="D28" s="34">
        <v>7.9</v>
      </c>
      <c r="E28" s="35">
        <v>29</v>
      </c>
      <c r="F28" s="131">
        <v>0.7</v>
      </c>
    </row>
    <row r="29" spans="2:6" ht="12.75">
      <c r="B29" s="36" t="str">
        <f>Texte!A145</f>
        <v>Poulains, 0.5 à 3 ans</v>
      </c>
      <c r="C29" s="38" t="str">
        <f>Texte!A354</f>
        <v>1 bête</v>
      </c>
      <c r="D29" s="37">
        <v>7.1</v>
      </c>
      <c r="E29" s="38">
        <v>26</v>
      </c>
      <c r="F29" s="131">
        <v>0.5</v>
      </c>
    </row>
    <row r="30" spans="2:6" ht="12.75">
      <c r="B30" s="33" t="str">
        <f>Texte!A146</f>
        <v>Mulet et bardot, de tout âge</v>
      </c>
      <c r="C30" s="70" t="str">
        <f>Texte!A355</f>
        <v>1 place</v>
      </c>
      <c r="D30" s="34">
        <v>4.5</v>
      </c>
      <c r="E30" s="42">
        <v>16.6</v>
      </c>
      <c r="F30" s="134">
        <v>0.4</v>
      </c>
    </row>
    <row r="31" spans="2:6" ht="12.75">
      <c r="B31" s="36" t="str">
        <f>Texte!A147</f>
        <v>Poney, petit cheval, âne de tout âge</v>
      </c>
      <c r="C31" s="38" t="str">
        <f>Texte!A355</f>
        <v>1 place</v>
      </c>
      <c r="D31" s="37">
        <v>2.8</v>
      </c>
      <c r="E31" s="43">
        <v>10.4</v>
      </c>
      <c r="F31" s="131">
        <v>0.25</v>
      </c>
    </row>
    <row r="32" spans="2:6" ht="12.75">
      <c r="B32" s="33" t="str">
        <f>Texte!A148</f>
        <v>Chèvre y c. cabris et part de bouc</v>
      </c>
      <c r="C32" s="70" t="str">
        <f>Texte!A355</f>
        <v>1 place</v>
      </c>
      <c r="D32" s="34">
        <v>1.9</v>
      </c>
      <c r="E32" s="41">
        <v>6.8</v>
      </c>
      <c r="F32" s="134">
        <v>0.17</v>
      </c>
    </row>
    <row r="33" spans="2:6" ht="12.75">
      <c r="B33" s="33" t="str">
        <f>Texte!A149</f>
        <v>Mouton y c. agneau et part de bélier</v>
      </c>
      <c r="C33" s="70" t="str">
        <f>Texte!A355</f>
        <v>1 place</v>
      </c>
      <c r="D33" s="34">
        <v>2.1</v>
      </c>
      <c r="E33" s="42">
        <v>7.6</v>
      </c>
      <c r="F33" s="131">
        <v>0.17</v>
      </c>
    </row>
    <row r="34" spans="2:6" ht="12.75">
      <c r="B34" s="33" t="str">
        <f>Texte!A150</f>
        <v>Brebis laitière, y c. agneaux et part de bélier</v>
      </c>
      <c r="C34" s="70" t="str">
        <f>Texte!A355</f>
        <v>1 place</v>
      </c>
      <c r="D34" s="34">
        <v>3</v>
      </c>
      <c r="E34" s="44">
        <v>11</v>
      </c>
      <c r="F34" s="131">
        <v>0.25</v>
      </c>
    </row>
    <row r="35" spans="2:6" ht="12.75">
      <c r="B35" s="36" t="str">
        <f>Texte!A151</f>
        <v>Agneau engraissé au pâturage</v>
      </c>
      <c r="C35" s="38" t="str">
        <f>Texte!A355</f>
        <v>1 place</v>
      </c>
      <c r="D35" s="37">
        <v>0.4</v>
      </c>
      <c r="E35" s="40">
        <v>1.4</v>
      </c>
      <c r="F35" s="131">
        <v>0.03</v>
      </c>
    </row>
    <row r="36" spans="2:6" ht="12.75">
      <c r="B36" s="33" t="str">
        <f>Texte!A152</f>
        <v>Daim, y c. petits, 1u.=2 animaux</v>
      </c>
      <c r="C36" s="70" t="str">
        <f>Texte!A352</f>
        <v>unité</v>
      </c>
      <c r="D36" s="34">
        <v>2.7</v>
      </c>
      <c r="E36" s="35">
        <v>10</v>
      </c>
      <c r="F36" s="134">
        <f>2*0.1</f>
        <v>0.2</v>
      </c>
    </row>
    <row r="37" spans="2:6" ht="12.75">
      <c r="B37" s="33" t="str">
        <f>Texte!A153</f>
        <v>Cerf,  y c. petits, 1u.=2 animaux</v>
      </c>
      <c r="C37" s="70" t="str">
        <f>Texte!A352</f>
        <v>unité</v>
      </c>
      <c r="D37" s="34">
        <v>5.5</v>
      </c>
      <c r="E37" s="35">
        <v>20</v>
      </c>
      <c r="F37" s="131">
        <f>2*0.2</f>
        <v>0.4</v>
      </c>
    </row>
    <row r="38" spans="2:6" ht="12.75">
      <c r="B38" s="33" t="str">
        <f>Texte!A154</f>
        <v>Wapiti, y c. petits, 1u.=2 animaux</v>
      </c>
      <c r="C38" s="70" t="str">
        <f>Texte!A352</f>
        <v>unité</v>
      </c>
      <c r="D38" s="34">
        <v>11</v>
      </c>
      <c r="E38" s="35">
        <v>40</v>
      </c>
      <c r="F38" s="131">
        <f>2*0.2</f>
        <v>0.4</v>
      </c>
    </row>
    <row r="39" spans="2:6" ht="12.75">
      <c r="B39" s="33" t="str">
        <f>Texte!A155</f>
        <v>Bison plus de 3 ans</v>
      </c>
      <c r="C39" s="70" t="str">
        <f>Texte!A354</f>
        <v>1 bête</v>
      </c>
      <c r="D39" s="34">
        <v>10.7</v>
      </c>
      <c r="E39" s="35">
        <v>39</v>
      </c>
      <c r="F39" s="131">
        <v>0.8</v>
      </c>
    </row>
    <row r="40" spans="2:6" ht="12.75">
      <c r="B40" s="36" t="str">
        <f>Texte!A156</f>
        <v>Bison moins de 3 ans</v>
      </c>
      <c r="C40" s="38" t="str">
        <f>Texte!A354</f>
        <v>1 bête</v>
      </c>
      <c r="D40" s="37">
        <v>4.9</v>
      </c>
      <c r="E40" s="38">
        <v>18</v>
      </c>
      <c r="F40" s="131">
        <v>0.4</v>
      </c>
    </row>
    <row r="41" spans="2:6" ht="12.75">
      <c r="B41" s="33" t="str">
        <f>Texte!A157</f>
        <v>Lama plus de 2 ans</v>
      </c>
      <c r="C41" s="70" t="str">
        <f>Texte!A354</f>
        <v>1 bête</v>
      </c>
      <c r="D41" s="34">
        <v>2.3</v>
      </c>
      <c r="E41" s="41">
        <v>8.5</v>
      </c>
      <c r="F41" s="134">
        <v>0.17</v>
      </c>
    </row>
    <row r="42" spans="2:6" ht="12.75">
      <c r="B42" s="33" t="str">
        <f>Texte!A158</f>
        <v>Lama moins de 2 ans</v>
      </c>
      <c r="C42" s="70" t="str">
        <f>Texte!A354</f>
        <v>1 bête</v>
      </c>
      <c r="D42" s="34">
        <v>1.3</v>
      </c>
      <c r="E42" s="41">
        <v>4.9</v>
      </c>
      <c r="F42" s="131">
        <v>0.11</v>
      </c>
    </row>
    <row r="43" spans="2:6" ht="12.75">
      <c r="B43" s="33" t="str">
        <f>Texte!A159</f>
        <v>Alpaga plus de 2 ans</v>
      </c>
      <c r="C43" s="70" t="str">
        <f>Texte!A354</f>
        <v>1 bête</v>
      </c>
      <c r="D43" s="34">
        <v>1.5</v>
      </c>
      <c r="E43" s="41">
        <v>5.5</v>
      </c>
      <c r="F43" s="131">
        <v>0.11</v>
      </c>
    </row>
    <row r="44" spans="2:6" ht="12.75">
      <c r="B44" s="36" t="str">
        <f>Texte!A160</f>
        <v>Alpaga moins de 2 ans</v>
      </c>
      <c r="C44" s="38" t="str">
        <f>Texte!A354</f>
        <v>1 bête</v>
      </c>
      <c r="D44" s="37">
        <v>0.8</v>
      </c>
      <c r="E44" s="38">
        <v>3</v>
      </c>
      <c r="F44" s="131">
        <v>0.07</v>
      </c>
    </row>
    <row r="45" spans="2:6" ht="12.75">
      <c r="B45" s="33" t="str">
        <f>Texte!A164</f>
        <v>Lapine mère (y c. petits jusqu'à env. 35 jours)</v>
      </c>
      <c r="C45" s="47" t="str">
        <f>Texte!A354</f>
        <v>1 bête</v>
      </c>
      <c r="D45" s="34">
        <v>0.1</v>
      </c>
      <c r="E45" s="47">
        <v>0.36</v>
      </c>
      <c r="F45" s="134">
        <v>0.034</v>
      </c>
    </row>
    <row r="46" spans="2:6" ht="12.75">
      <c r="B46" s="33" t="str">
        <f>Texte!A165</f>
        <v>Petits lapins dès env.35 jours</v>
      </c>
      <c r="C46" s="41" t="str">
        <f>Texte!A353</f>
        <v>100 pl.</v>
      </c>
      <c r="D46" s="34">
        <v>1.1</v>
      </c>
      <c r="E46" s="41">
        <v>4</v>
      </c>
      <c r="F46" s="131">
        <v>1.1</v>
      </c>
    </row>
    <row r="47" spans="2:6" ht="12.75">
      <c r="B47" s="33" t="str">
        <f>Texte!A166</f>
        <v>Autruche plus de 13 mois</v>
      </c>
      <c r="C47" s="41" t="str">
        <f>Texte!A354</f>
        <v>1 bête</v>
      </c>
      <c r="D47" s="34">
        <v>3</v>
      </c>
      <c r="E47" s="41">
        <v>11</v>
      </c>
      <c r="F47" s="131">
        <v>0.26</v>
      </c>
    </row>
    <row r="48" spans="2:6" ht="12.75">
      <c r="B48" s="36" t="str">
        <f>Texte!A167</f>
        <v>Autruche jusqu'à 13 mois</v>
      </c>
      <c r="C48" s="45" t="str">
        <f>Texte!A354</f>
        <v>1 bête</v>
      </c>
      <c r="D48" s="37">
        <v>0.5</v>
      </c>
      <c r="E48" s="45">
        <v>2</v>
      </c>
      <c r="F48" s="131">
        <v>0.14</v>
      </c>
    </row>
    <row r="49" spans="2:6" ht="12.75">
      <c r="B49" s="33" t="str">
        <f>Texte!A168</f>
        <v>Porc à l'engrais/remonte (PPE) de 25-100 kg</v>
      </c>
      <c r="C49" s="70" t="str">
        <f>Texte!A355</f>
        <v>1 place</v>
      </c>
      <c r="D49" s="34"/>
      <c r="E49" s="41"/>
      <c r="F49" s="134">
        <v>0.17</v>
      </c>
    </row>
    <row r="50" spans="2:6" ht="12.75">
      <c r="B50" s="36" t="str">
        <f>Texte!A169</f>
        <v>Porc à l'engrais/remonte de 25-100 kg</v>
      </c>
      <c r="C50" s="38" t="str">
        <f>Texte!A354</f>
        <v>1 bête</v>
      </c>
      <c r="D50" s="37"/>
      <c r="E50" s="45"/>
      <c r="F50" s="131"/>
    </row>
    <row r="51" spans="2:6" ht="12.75">
      <c r="B51" s="33" t="str">
        <f>Texte!A170</f>
        <v>Truie d'élevage, porcelets inclus 25-30 kg</v>
      </c>
      <c r="C51" s="70" t="str">
        <f>Texte!A355</f>
        <v>1 place</v>
      </c>
      <c r="D51" s="34"/>
      <c r="E51" s="41">
        <v>0.5</v>
      </c>
      <c r="F51" s="134"/>
    </row>
    <row r="52" spans="2:6" ht="12.75">
      <c r="B52" s="33" t="str">
        <f>Texte!A171</f>
        <v>Truie non allaitante</v>
      </c>
      <c r="C52" s="70" t="str">
        <f>Texte!A355</f>
        <v>1 place</v>
      </c>
      <c r="D52" s="34"/>
      <c r="E52" s="41">
        <v>0.5</v>
      </c>
      <c r="F52" s="131">
        <v>0.26</v>
      </c>
    </row>
    <row r="53" spans="2:6" ht="12.75">
      <c r="B53" s="33" t="str">
        <f>Texte!A172</f>
        <v>Truie non allaitante, par rotation</v>
      </c>
      <c r="C53" s="70" t="str">
        <f>Texte!A354</f>
        <v>1 bête</v>
      </c>
      <c r="D53" s="34"/>
      <c r="E53" s="41">
        <v>0.5</v>
      </c>
      <c r="F53" s="131"/>
    </row>
    <row r="54" spans="2:6" ht="12.75">
      <c r="B54" s="33" t="str">
        <f>Texte!A173</f>
        <v>Truie allaitante, y c. porcelets</v>
      </c>
      <c r="C54" s="70" t="str">
        <f>Texte!A355</f>
        <v>1 place</v>
      </c>
      <c r="D54" s="34"/>
      <c r="E54" s="41">
        <v>0.5</v>
      </c>
      <c r="F54" s="131">
        <v>0.55</v>
      </c>
    </row>
    <row r="55" spans="2:6" ht="12.75">
      <c r="B55" s="36" t="str">
        <f>Texte!A174</f>
        <v>Truie allaitante, y c. porcelets, par rotation</v>
      </c>
      <c r="C55" s="38" t="str">
        <f>Texte!A354</f>
        <v>1 bête</v>
      </c>
      <c r="D55" s="37" t="s">
        <v>300</v>
      </c>
      <c r="E55" s="41">
        <v>0.5</v>
      </c>
      <c r="F55" s="131"/>
    </row>
    <row r="56" spans="2:6" ht="12.75">
      <c r="B56" s="36" t="str">
        <f>Texte!A175</f>
        <v>Verrat</v>
      </c>
      <c r="C56" s="46" t="str">
        <f>Texte!A354</f>
        <v>1 bête</v>
      </c>
      <c r="D56" s="37"/>
      <c r="E56" s="46">
        <v>0.5</v>
      </c>
      <c r="F56" s="134">
        <v>0.25</v>
      </c>
    </row>
    <row r="57" spans="2:6" ht="12.75">
      <c r="B57" s="50" t="str">
        <f>Texte!A176</f>
        <v>Porcelet sevré jusqu'à 25-30 kg</v>
      </c>
      <c r="C57" s="41" t="str">
        <f>Texte!A355</f>
        <v>1 place</v>
      </c>
      <c r="D57" s="34"/>
      <c r="E57" s="41"/>
      <c r="F57" s="134">
        <v>0.06</v>
      </c>
    </row>
    <row r="58" spans="2:6" ht="12.75">
      <c r="B58" s="136" t="str">
        <f>Texte!A177</f>
        <v>Porcelet sevré jusqu'à 25-30 kg</v>
      </c>
      <c r="C58" s="137" t="str">
        <f>Texte!A354</f>
        <v>1 bête</v>
      </c>
      <c r="D58" s="138"/>
      <c r="E58" s="137"/>
      <c r="F58" s="133"/>
    </row>
  </sheetData>
  <sheetProtection password="98F7" sheet="1" objects="1" scenarios="1"/>
  <mergeCells count="2">
    <mergeCell ref="D4:E4"/>
    <mergeCell ref="D5:E5"/>
  </mergeCells>
  <printOptions/>
  <pageMargins left="0.75" right="0.54" top="1" bottom="1" header="0.4921259845" footer="0.4921259845"/>
  <pageSetup horizontalDpi="600" verticalDpi="600" orientation="portrait" paperSize="9" r:id="rId1"/>
  <headerFooter alignWithMargins="0">
    <oddFooter>&amp;L&amp;"Arial,Fett"&amp;11© AGRIDEA&amp;"Arial,Standard"&amp;10  &amp;9GMF / HLVP&amp;C&amp;9&amp;F&amp;R&amp;9&amp;P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2:N71"/>
  <sheetViews>
    <sheetView showRowColHeaders="0" zoomScaleSheetLayoutView="80" workbookViewId="0" topLeftCell="A1">
      <selection activeCell="A1" sqref="A1"/>
    </sheetView>
  </sheetViews>
  <sheetFormatPr defaultColWidth="11.421875" defaultRowHeight="12.75"/>
  <cols>
    <col min="1" max="1" width="1.7109375" style="596" customWidth="1"/>
    <col min="2" max="2" width="18.28125" style="596" customWidth="1"/>
    <col min="3" max="3" width="7.57421875" style="596" customWidth="1"/>
    <col min="4" max="4" width="5.57421875" style="596" customWidth="1"/>
    <col min="5" max="5" width="3.57421875" style="596" customWidth="1"/>
    <col min="6" max="6" width="6.8515625" style="596" customWidth="1"/>
    <col min="7" max="7" width="4.00390625" style="596" customWidth="1"/>
    <col min="8" max="8" width="11.7109375" style="596" customWidth="1"/>
    <col min="9" max="9" width="9.8515625" style="596" customWidth="1"/>
    <col min="10" max="10" width="7.7109375" style="596" customWidth="1"/>
    <col min="11" max="11" width="18.57421875" style="596" customWidth="1"/>
    <col min="12" max="12" width="4.7109375" style="596" customWidth="1"/>
    <col min="13" max="13" width="6.7109375" style="607" customWidth="1"/>
    <col min="14" max="16384" width="11.421875" style="607" customWidth="1"/>
  </cols>
  <sheetData>
    <row r="1" s="596" customFormat="1" ht="9" customHeight="1"/>
    <row r="2" spans="1:13" s="596" customFormat="1" ht="21" customHeight="1">
      <c r="A2" s="597"/>
      <c r="D2" s="598" t="str">
        <f>Texte!A388</f>
        <v>Adaptation de son système de production</v>
      </c>
      <c r="L2" s="499"/>
      <c r="M2" s="499"/>
    </row>
    <row r="3" spans="2:13" s="596" customFormat="1" ht="21" customHeight="1">
      <c r="B3" s="499"/>
      <c r="C3" s="499"/>
      <c r="D3" s="598" t="str">
        <f>Texte!A389</f>
        <v>pour répondre aux exigences PLVH</v>
      </c>
      <c r="E3" s="499"/>
      <c r="F3" s="499"/>
      <c r="G3" s="499"/>
      <c r="H3" s="499"/>
      <c r="I3" s="499"/>
      <c r="J3" s="499"/>
      <c r="K3" s="499"/>
      <c r="L3" s="499"/>
      <c r="M3" s="499"/>
    </row>
    <row r="4" spans="2:13" s="596" customFormat="1" ht="7.5" customHeight="1" thickBot="1">
      <c r="B4" s="599"/>
      <c r="C4" s="599"/>
      <c r="D4" s="600"/>
      <c r="E4" s="599"/>
      <c r="F4" s="601"/>
      <c r="G4" s="601"/>
      <c r="H4" s="601"/>
      <c r="I4" s="602"/>
      <c r="J4" s="600"/>
      <c r="K4" s="600"/>
      <c r="L4" s="600"/>
      <c r="M4" s="600"/>
    </row>
    <row r="5" spans="2:10" s="596" customFormat="1" ht="3.75" customHeight="1">
      <c r="B5" s="598"/>
      <c r="C5" s="598"/>
      <c r="E5" s="598"/>
      <c r="F5" s="603"/>
      <c r="G5" s="603"/>
      <c r="H5" s="603"/>
      <c r="I5" s="604"/>
      <c r="J5" s="499"/>
    </row>
    <row r="6" spans="2:14" ht="12.75">
      <c r="B6" s="605" t="str">
        <f>Texte!A390</f>
        <v>Attention: saisir d'abord la feuille "Bilanz-bilan", car plusieurs chiffres sont reprises de ce tableur.</v>
      </c>
      <c r="D6" s="606"/>
      <c r="M6" s="596"/>
      <c r="N6" s="596"/>
    </row>
    <row r="7" spans="2:14" ht="12.75">
      <c r="B7" s="607"/>
      <c r="C7" s="607"/>
      <c r="D7" s="607"/>
      <c r="E7" s="607"/>
      <c r="F7" s="607"/>
      <c r="G7" s="607"/>
      <c r="H7" s="607"/>
      <c r="I7" s="607"/>
      <c r="J7" s="607"/>
      <c r="K7" s="607"/>
      <c r="L7" s="499"/>
      <c r="M7" s="499"/>
      <c r="N7" s="596"/>
    </row>
    <row r="8" spans="1:14" ht="15.75">
      <c r="A8" s="146"/>
      <c r="B8" s="608" t="str">
        <f>Texte!A391</f>
        <v>Explications</v>
      </c>
      <c r="C8" s="607"/>
      <c r="D8" s="607"/>
      <c r="E8" s="607"/>
      <c r="F8" s="607"/>
      <c r="G8" s="607"/>
      <c r="H8" s="607"/>
      <c r="I8" s="607"/>
      <c r="J8" s="607"/>
      <c r="K8" s="607"/>
      <c r="L8" s="499"/>
      <c r="M8" s="499"/>
      <c r="N8" s="596"/>
    </row>
    <row r="9" spans="2:14" ht="12.75">
      <c r="B9" s="609" t="str">
        <f>Texte!A392</f>
        <v>Si l'exigence de la part minimale en concentrés dans la ration n'est pas remplie, la réduction des concentrés est une option.</v>
      </c>
      <c r="C9" s="607"/>
      <c r="D9" s="607"/>
      <c r="E9" s="607"/>
      <c r="F9" s="607"/>
      <c r="G9" s="607"/>
      <c r="H9" s="607"/>
      <c r="I9" s="607"/>
      <c r="J9" s="607"/>
      <c r="K9" s="607"/>
      <c r="L9" s="499"/>
      <c r="M9" s="499"/>
      <c r="N9" s="596"/>
    </row>
    <row r="10" spans="1:11" ht="12.75">
      <c r="A10" s="146"/>
      <c r="B10" s="596" t="str">
        <f>Texte!A393</f>
        <v>Cette feuille donne un aperçu du solde financier en cas de réorientation de son système de production laitière. </v>
      </c>
      <c r="C10" s="607"/>
      <c r="D10" s="607"/>
      <c r="E10" s="607"/>
      <c r="F10" s="607"/>
      <c r="G10" s="607"/>
      <c r="H10" s="607"/>
      <c r="I10" s="607"/>
      <c r="J10" s="607"/>
      <c r="K10" s="607"/>
    </row>
    <row r="11" spans="1:11" ht="12.75">
      <c r="A11" s="146"/>
      <c r="B11" s="607"/>
      <c r="C11" s="607"/>
      <c r="D11" s="607"/>
      <c r="E11" s="607"/>
      <c r="F11" s="607"/>
      <c r="G11" s="607"/>
      <c r="H11" s="607"/>
      <c r="I11" s="607"/>
      <c r="J11" s="607"/>
      <c r="K11" s="607"/>
    </row>
    <row r="12" spans="1:11" ht="12.75">
      <c r="A12" s="146"/>
      <c r="B12" s="609" t="str">
        <f>Texte!A394</f>
        <v>Vérifiez à l'aide de la feuille "bilan" si la réduction supposée (partie A) répond</v>
      </c>
      <c r="C12" s="607"/>
      <c r="D12" s="607"/>
      <c r="E12" s="607"/>
      <c r="F12" s="607"/>
      <c r="G12" s="607"/>
      <c r="H12" s="607"/>
      <c r="I12" s="607"/>
      <c r="J12" s="607"/>
      <c r="K12" s="607"/>
    </row>
    <row r="13" spans="1:11" ht="12.75">
      <c r="A13" s="146"/>
      <c r="B13" s="609" t="str">
        <f>Texte!A395</f>
        <v>à l'exigence minimale de 10% (partie D). </v>
      </c>
      <c r="C13" s="607"/>
      <c r="D13" s="607"/>
      <c r="E13" s="607"/>
      <c r="F13" s="607"/>
      <c r="G13" s="607"/>
      <c r="H13" s="607"/>
      <c r="I13" s="607"/>
      <c r="J13" s="607"/>
      <c r="K13" s="607"/>
    </row>
    <row r="15" spans="2:12" ht="3.75" customHeight="1">
      <c r="B15" s="607"/>
      <c r="C15" s="607"/>
      <c r="D15" s="607"/>
      <c r="E15" s="607"/>
      <c r="F15" s="607"/>
      <c r="G15" s="607"/>
      <c r="H15" s="607"/>
      <c r="I15" s="607"/>
      <c r="J15" s="607"/>
      <c r="K15" s="607"/>
      <c r="L15" s="607"/>
    </row>
    <row r="16" spans="2:12" ht="15.75">
      <c r="B16" s="608" t="str">
        <f>Texte!A396</f>
        <v>Production laitière</v>
      </c>
      <c r="C16" s="607"/>
      <c r="D16" s="607"/>
      <c r="E16" s="607"/>
      <c r="F16" s="607"/>
      <c r="G16" s="607"/>
      <c r="H16" s="607"/>
      <c r="I16" s="607"/>
      <c r="J16" s="607"/>
      <c r="K16" s="607"/>
      <c r="L16" s="607"/>
    </row>
    <row r="17" spans="2:12" ht="15.75">
      <c r="B17" s="608"/>
      <c r="C17" s="607"/>
      <c r="D17" s="607"/>
      <c r="E17" s="607"/>
      <c r="F17" s="607"/>
      <c r="G17" s="607"/>
      <c r="H17" s="607"/>
      <c r="I17" s="607"/>
      <c r="J17" s="607"/>
      <c r="K17" s="607"/>
      <c r="L17" s="607"/>
    </row>
    <row r="18" spans="2:12" ht="12.75">
      <c r="B18" s="499" t="str">
        <f>Texte!A397</f>
        <v>Moyenne actuelle du troupeau</v>
      </c>
      <c r="C18" s="607"/>
      <c r="D18" s="607"/>
      <c r="E18" s="607"/>
      <c r="F18" s="607"/>
      <c r="G18" s="610" t="s">
        <v>1124</v>
      </c>
      <c r="H18" s="611">
        <f>IF('Bilanz-bilan'!E41&lt;&gt;0,'Bilanz-bilan'!E41,"")</f>
      </c>
      <c r="I18" s="609" t="str">
        <f>Texte!A408</f>
        <v>kg lait/vache</v>
      </c>
      <c r="J18" s="607"/>
      <c r="K18" s="609"/>
      <c r="L18" s="607"/>
    </row>
    <row r="19" spans="2:12" ht="12.75">
      <c r="B19" s="609"/>
      <c r="C19" s="607"/>
      <c r="D19" s="607"/>
      <c r="E19" s="607"/>
      <c r="F19" s="607"/>
      <c r="G19" s="607"/>
      <c r="H19" s="607"/>
      <c r="I19" s="607"/>
      <c r="J19" s="607"/>
      <c r="K19" s="607"/>
      <c r="L19" s="607"/>
    </row>
    <row r="20" spans="1:12" ht="12.75">
      <c r="A20" s="607"/>
      <c r="B20" s="499" t="str">
        <f>Texte!A398</f>
        <v>Production attendue dans le nouveau système</v>
      </c>
      <c r="C20" s="607"/>
      <c r="D20" s="607"/>
      <c r="E20" s="607"/>
      <c r="F20" s="607"/>
      <c r="G20" s="610" t="s">
        <v>1124</v>
      </c>
      <c r="H20" s="612"/>
      <c r="I20" s="609" t="str">
        <f>Texte!A408</f>
        <v>kg lait/vache</v>
      </c>
      <c r="J20" s="607"/>
      <c r="K20" s="609"/>
      <c r="L20" s="607"/>
    </row>
    <row r="21" spans="1:4" ht="12.75">
      <c r="A21" s="607"/>
      <c r="B21" s="607"/>
      <c r="D21" s="606"/>
    </row>
    <row r="22" spans="1:13" ht="12.75">
      <c r="A22" s="607"/>
      <c r="B22" s="499" t="str">
        <f>Texte!A399</f>
        <v>Nombre de vaches</v>
      </c>
      <c r="D22" s="606"/>
      <c r="H22" s="613">
        <f>IF('Bilanz-bilan'!E41&lt;&gt;0,'Bilanz-bilan'!G41,"")</f>
      </c>
      <c r="I22" s="596" t="str">
        <f>Texte!A409</f>
        <v>vaches</v>
      </c>
      <c r="K22" s="614"/>
      <c r="L22" s="615"/>
      <c r="M22" s="616"/>
    </row>
    <row r="23" spans="1:13" ht="3.75" customHeight="1">
      <c r="A23" s="607"/>
      <c r="B23" s="607"/>
      <c r="C23" s="607"/>
      <c r="D23" s="607"/>
      <c r="E23" s="607"/>
      <c r="F23" s="607"/>
      <c r="G23" s="607"/>
      <c r="K23" s="615"/>
      <c r="L23" s="615"/>
      <c r="M23" s="616"/>
    </row>
    <row r="24" spans="1:13" ht="15.75">
      <c r="A24" s="607"/>
      <c r="B24" s="608" t="str">
        <f>Texte!A400</f>
        <v>Conséquences sur les volumes</v>
      </c>
      <c r="D24" s="606"/>
      <c r="E24" s="607"/>
      <c r="F24" s="607"/>
      <c r="G24" s="607"/>
      <c r="H24" s="607"/>
      <c r="K24" s="615"/>
      <c r="L24" s="615"/>
      <c r="M24" s="616"/>
    </row>
    <row r="25" spans="1:13" ht="15.75">
      <c r="A25" s="607"/>
      <c r="B25" s="608"/>
      <c r="D25" s="606"/>
      <c r="E25" s="607"/>
      <c r="F25" s="607"/>
      <c r="G25" s="607"/>
      <c r="H25" s="607"/>
      <c r="K25" s="615"/>
      <c r="L25" s="615"/>
      <c r="M25" s="616"/>
    </row>
    <row r="26" spans="1:13" ht="12.75">
      <c r="A26" s="607"/>
      <c r="B26" s="499" t="str">
        <f>Texte!A401</f>
        <v>Diminution totale du volume de lait produit</v>
      </c>
      <c r="C26" s="607"/>
      <c r="D26" s="607"/>
      <c r="E26" s="607"/>
      <c r="F26" s="607"/>
      <c r="G26" s="607"/>
      <c r="H26" s="617">
        <f>IF(H20=0,"",(H20-H18)*H22)</f>
      </c>
      <c r="I26" s="596" t="str">
        <f>Texte!A410</f>
        <v>kg lait</v>
      </c>
      <c r="K26" s="615"/>
      <c r="L26" s="615"/>
      <c r="M26" s="616"/>
    </row>
    <row r="27" spans="1:13" ht="12.75">
      <c r="A27" s="607"/>
      <c r="B27" s="607"/>
      <c r="C27" s="607"/>
      <c r="D27" s="607"/>
      <c r="E27" s="607"/>
      <c r="F27" s="607"/>
      <c r="G27" s="607"/>
      <c r="H27" s="618"/>
      <c r="I27" s="607"/>
      <c r="J27" s="607"/>
      <c r="K27" s="616"/>
      <c r="L27" s="615"/>
      <c r="M27" s="616"/>
    </row>
    <row r="28" spans="1:13" ht="12.75">
      <c r="A28" s="607"/>
      <c r="B28" s="609" t="str">
        <f>Texte!A402</f>
        <v>Economie de concentrés par vache</v>
      </c>
      <c r="C28" s="607"/>
      <c r="D28" s="607"/>
      <c r="G28" s="607"/>
      <c r="H28" s="612"/>
      <c r="I28" s="609" t="str">
        <f>Texte!A411</f>
        <v>kg conc./vache</v>
      </c>
      <c r="J28" s="607"/>
      <c r="K28" s="614" t="str">
        <f>Texte!A416</f>
        <v>lire l'explication*</v>
      </c>
      <c r="L28" s="616"/>
      <c r="M28" s="616"/>
    </row>
    <row r="29" spans="1:13" ht="3.75" customHeight="1">
      <c r="A29" s="619"/>
      <c r="B29" s="607"/>
      <c r="C29" s="607"/>
      <c r="D29" s="607"/>
      <c r="E29" s="607"/>
      <c r="F29" s="607"/>
      <c r="G29" s="607"/>
      <c r="H29" s="620"/>
      <c r="I29" s="607"/>
      <c r="J29" s="607"/>
      <c r="K29" s="616"/>
      <c r="L29" s="615"/>
      <c r="M29" s="616"/>
    </row>
    <row r="30" spans="2:13" ht="15.75">
      <c r="B30" s="608" t="str">
        <f>Texte!A403</f>
        <v>Conséquences financières</v>
      </c>
      <c r="C30" s="607"/>
      <c r="D30" s="607"/>
      <c r="E30" s="607"/>
      <c r="F30" s="607"/>
      <c r="G30" s="607"/>
      <c r="H30" s="620"/>
      <c r="I30" s="607"/>
      <c r="J30" s="621" t="str">
        <f>Texte!A417</f>
        <v>Prix</v>
      </c>
      <c r="K30" s="616"/>
      <c r="L30" s="615"/>
      <c r="M30" s="616"/>
    </row>
    <row r="31" spans="1:11" ht="12.75">
      <c r="A31" s="468"/>
      <c r="B31" s="607"/>
      <c r="C31" s="607"/>
      <c r="D31" s="607"/>
      <c r="E31" s="607"/>
      <c r="F31" s="607"/>
      <c r="G31" s="607"/>
      <c r="H31" s="620"/>
      <c r="I31" s="607"/>
      <c r="J31" s="607"/>
      <c r="K31" s="607"/>
    </row>
    <row r="32" spans="1:11" ht="12.75">
      <c r="A32" s="468"/>
      <c r="B32" s="499" t="str">
        <f>Texte!A404</f>
        <v>Perte totale en lait</v>
      </c>
      <c r="C32" s="607"/>
      <c r="D32" s="607"/>
      <c r="E32" s="607"/>
      <c r="F32" s="607"/>
      <c r="G32" s="607"/>
      <c r="H32" s="611">
        <f>IF('Bilanz-bilan'!E41&lt;&gt;0,H26*J32/100,"")</f>
      </c>
      <c r="I32" s="607" t="str">
        <f>Texte!A412</f>
        <v>Frs</v>
      </c>
      <c r="J32" s="612">
        <v>55</v>
      </c>
      <c r="K32" s="609" t="str">
        <f>Texte!A413</f>
        <v>cts/kg</v>
      </c>
    </row>
    <row r="33" spans="1:11" ht="12.75">
      <c r="A33" s="468"/>
      <c r="B33" s="607"/>
      <c r="C33" s="607"/>
      <c r="D33" s="607"/>
      <c r="E33" s="607"/>
      <c r="F33" s="607"/>
      <c r="G33" s="607"/>
      <c r="H33" s="622"/>
      <c r="I33" s="607"/>
      <c r="J33" s="607"/>
      <c r="K33" s="607"/>
    </row>
    <row r="34" spans="1:11" ht="12.75">
      <c r="A34" s="468"/>
      <c r="B34" s="607" t="str">
        <f>Texte!A405</f>
        <v>Economie de concentrés</v>
      </c>
      <c r="C34" s="607"/>
      <c r="D34" s="607"/>
      <c r="E34" s="607"/>
      <c r="F34" s="607"/>
      <c r="G34" s="607"/>
      <c r="H34" s="611">
        <f>IF('Bilanz-bilan'!E41&lt;&gt;0,H22*H28*J34/100,"")</f>
      </c>
      <c r="I34" s="607" t="str">
        <f>Texte!A412</f>
        <v>Frs</v>
      </c>
      <c r="J34" s="612">
        <v>65</v>
      </c>
      <c r="K34" s="609" t="str">
        <f>Texte!A414</f>
        <v>Frs/dt</v>
      </c>
    </row>
    <row r="35" spans="1:11" ht="12.75">
      <c r="A35" s="468"/>
      <c r="B35" s="607"/>
      <c r="C35" s="607"/>
      <c r="D35" s="607"/>
      <c r="E35" s="607"/>
      <c r="F35" s="607"/>
      <c r="G35" s="607"/>
      <c r="H35" s="622"/>
      <c r="I35" s="607"/>
      <c r="J35" s="607"/>
      <c r="K35" s="607"/>
    </row>
    <row r="36" spans="1:11" ht="12.75">
      <c r="A36" s="468"/>
      <c r="B36" s="607" t="str">
        <f>Texte!A406</f>
        <v>Contributions supplémentaires PLVH</v>
      </c>
      <c r="C36" s="607"/>
      <c r="D36" s="607"/>
      <c r="E36" s="607"/>
      <c r="F36" s="607"/>
      <c r="G36" s="607"/>
      <c r="H36" s="611">
        <f>IF('Bilanz-bilan'!J113=0,"",J36*'Bilanz-bilan'!J113)</f>
      </c>
      <c r="I36" s="607" t="str">
        <f>Texte!A412</f>
        <v>Frs</v>
      </c>
      <c r="J36" s="612">
        <v>200</v>
      </c>
      <c r="K36" s="607" t="str">
        <f>Texte!A415</f>
        <v>Frs/ha</v>
      </c>
    </row>
    <row r="37" spans="1:11" ht="3.75" customHeight="1" thickBot="1">
      <c r="A37" s="468"/>
      <c r="B37" s="607"/>
      <c r="C37" s="607"/>
      <c r="D37" s="607"/>
      <c r="E37" s="607"/>
      <c r="F37" s="607"/>
      <c r="G37" s="607"/>
      <c r="H37" s="620"/>
      <c r="I37" s="607"/>
      <c r="J37" s="607"/>
      <c r="K37" s="607"/>
    </row>
    <row r="38" spans="1:11" ht="16.5" thickBot="1">
      <c r="A38" s="468"/>
      <c r="B38" s="608" t="str">
        <f>Texte!A407</f>
        <v>Solde</v>
      </c>
      <c r="C38" s="607"/>
      <c r="D38" s="607"/>
      <c r="E38" s="607"/>
      <c r="F38" s="607"/>
      <c r="G38" s="607"/>
      <c r="H38" s="623">
        <f>IF('Bilanz-bilan'!E41&lt;&gt;0,SUM(H32:H36),"")</f>
      </c>
      <c r="I38" s="607" t="str">
        <f>Texte!A412</f>
        <v>Frs</v>
      </c>
      <c r="J38" s="607"/>
      <c r="K38" s="607"/>
    </row>
    <row r="39" spans="1:11" ht="12.75">
      <c r="A39" s="468"/>
      <c r="B39" s="607"/>
      <c r="C39" s="607"/>
      <c r="D39" s="607"/>
      <c r="E39" s="607"/>
      <c r="F39" s="607"/>
      <c r="G39" s="607"/>
      <c r="H39" s="620"/>
      <c r="I39" s="607"/>
      <c r="J39" s="607"/>
      <c r="K39" s="607"/>
    </row>
    <row r="40" spans="1:11" ht="12.75">
      <c r="A40" s="146"/>
      <c r="B40" s="624"/>
      <c r="C40" s="607"/>
      <c r="D40" s="607"/>
      <c r="E40" s="607"/>
      <c r="F40" s="607"/>
      <c r="G40" s="607"/>
      <c r="H40" s="607"/>
      <c r="I40" s="607"/>
      <c r="J40" s="607"/>
      <c r="K40" s="607"/>
    </row>
    <row r="41" spans="1:11" ht="12.75">
      <c r="A41" s="146"/>
      <c r="B41" s="607"/>
      <c r="C41" s="607"/>
      <c r="D41" s="607"/>
      <c r="E41" s="607"/>
      <c r="F41" s="607"/>
      <c r="G41" s="607"/>
      <c r="H41" s="607"/>
      <c r="I41" s="607"/>
      <c r="J41" s="607"/>
      <c r="K41" s="607"/>
    </row>
    <row r="42" spans="2:13" ht="12.75">
      <c r="B42" s="615"/>
      <c r="C42" s="615"/>
      <c r="D42" s="615"/>
      <c r="E42" s="615"/>
      <c r="F42" s="615"/>
      <c r="G42" s="615"/>
      <c r="H42" s="615"/>
      <c r="I42" s="615"/>
      <c r="J42" s="615"/>
      <c r="K42" s="615"/>
      <c r="L42" s="615"/>
      <c r="M42" s="616"/>
    </row>
    <row r="43" spans="2:13" ht="12.75">
      <c r="B43" s="625" t="str">
        <f>Texte!A418</f>
        <v>Réduction des concentrés</v>
      </c>
      <c r="C43" s="615"/>
      <c r="D43" s="615"/>
      <c r="E43" s="615"/>
      <c r="F43" s="615"/>
      <c r="G43" s="615"/>
      <c r="H43" s="615"/>
      <c r="I43" s="615"/>
      <c r="J43" s="615"/>
      <c r="K43" s="615"/>
      <c r="L43" s="615"/>
      <c r="M43" s="616"/>
    </row>
    <row r="44" spans="2:13" ht="12.75">
      <c r="B44" s="615" t="str">
        <f>Texte!A419</f>
        <v>Quantité de concentrés économisée = différence de production laitière en moins divisée par le PPL des concentrés.</v>
      </c>
      <c r="C44" s="615"/>
      <c r="D44" s="615"/>
      <c r="E44" s="615"/>
      <c r="F44" s="615"/>
      <c r="G44" s="615"/>
      <c r="H44" s="615"/>
      <c r="I44" s="615"/>
      <c r="J44" s="615"/>
      <c r="K44" s="615"/>
      <c r="L44" s="615"/>
      <c r="M44" s="616"/>
    </row>
    <row r="45" spans="2:13" ht="12.75">
      <c r="B45" s="615" t="str">
        <f>Texte!A420</f>
        <v>Supposition pour le potentiel de production laitière = 2 kg lait par kg de concentrés*</v>
      </c>
      <c r="C45" s="615"/>
      <c r="D45" s="615"/>
      <c r="E45" s="615"/>
      <c r="F45" s="615"/>
      <c r="G45" s="615"/>
      <c r="H45" s="615"/>
      <c r="I45" s="615"/>
      <c r="J45" s="615"/>
      <c r="K45" s="615"/>
      <c r="L45" s="615"/>
      <c r="M45" s="616"/>
    </row>
    <row r="46" spans="2:13" ht="12.75">
      <c r="B46" s="625" t="str">
        <f>Texte!A421</f>
        <v>Exemple</v>
      </c>
      <c r="C46" s="615"/>
      <c r="D46" s="615"/>
      <c r="E46" s="615"/>
      <c r="F46" s="615"/>
      <c r="G46" s="615"/>
      <c r="H46" s="615"/>
      <c r="I46" s="615"/>
      <c r="J46" s="615"/>
      <c r="K46" s="615"/>
      <c r="L46" s="615"/>
      <c r="M46" s="616"/>
    </row>
    <row r="47" spans="1:13" ht="12.75">
      <c r="A47" s="146"/>
      <c r="B47" s="615" t="str">
        <f>Texte!A422</f>
        <v>500 kg de diminution de production laitière / 2 (PPL concentrés) = 250 kg de concentrés économisés</v>
      </c>
      <c r="C47" s="615"/>
      <c r="D47" s="615"/>
      <c r="E47" s="615"/>
      <c r="F47" s="615"/>
      <c r="G47" s="626"/>
      <c r="H47" s="626"/>
      <c r="I47" s="626"/>
      <c r="J47" s="615"/>
      <c r="K47" s="615"/>
      <c r="L47" s="615"/>
      <c r="M47" s="616"/>
    </row>
    <row r="48" spans="1:13" ht="12.75">
      <c r="A48" s="146"/>
      <c r="B48" s="615" t="str">
        <f>Texte!A423</f>
        <v>*Explication: la différence effective de production laitière par kg de concentrés incorporés ou économisés</v>
      </c>
      <c r="C48" s="615"/>
      <c r="D48" s="615"/>
      <c r="E48" s="615"/>
      <c r="F48" s="615"/>
      <c r="G48" s="626"/>
      <c r="H48" s="626"/>
      <c r="I48" s="626"/>
      <c r="J48" s="615"/>
      <c r="K48" s="615"/>
      <c r="L48" s="615"/>
      <c r="M48" s="616"/>
    </row>
    <row r="49" spans="1:13" ht="12.75">
      <c r="A49" s="146"/>
      <c r="B49" s="615" t="str">
        <f>Texte!A424</f>
        <v>peut varier d'environ 1 à 3 selon la composition de la ration.</v>
      </c>
      <c r="C49" s="615"/>
      <c r="D49" s="615"/>
      <c r="E49" s="615"/>
      <c r="F49" s="615"/>
      <c r="G49" s="626"/>
      <c r="H49" s="626"/>
      <c r="I49" s="626"/>
      <c r="J49" s="615"/>
      <c r="K49" s="615"/>
      <c r="L49" s="615"/>
      <c r="M49" s="616"/>
    </row>
    <row r="50" spans="1:13" ht="12.75">
      <c r="A50" s="146"/>
      <c r="C50" s="615"/>
      <c r="D50" s="615"/>
      <c r="E50" s="615"/>
      <c r="F50" s="615"/>
      <c r="G50" s="626"/>
      <c r="H50" s="626"/>
      <c r="I50" s="626"/>
      <c r="J50" s="615"/>
      <c r="K50" s="615"/>
      <c r="L50" s="615"/>
      <c r="M50" s="616"/>
    </row>
    <row r="51" spans="1:13" ht="12.75">
      <c r="A51" s="146"/>
      <c r="C51" s="615"/>
      <c r="D51" s="615"/>
      <c r="E51" s="615"/>
      <c r="F51" s="615"/>
      <c r="G51" s="626"/>
      <c r="H51" s="626"/>
      <c r="I51" s="626"/>
      <c r="J51" s="615"/>
      <c r="K51" s="615"/>
      <c r="L51" s="615"/>
      <c r="M51" s="616"/>
    </row>
    <row r="52" spans="1:13" ht="12.75">
      <c r="A52" s="146"/>
      <c r="C52" s="615"/>
      <c r="D52" s="615"/>
      <c r="E52" s="615"/>
      <c r="F52" s="615"/>
      <c r="G52" s="626"/>
      <c r="H52" s="626"/>
      <c r="I52" s="626"/>
      <c r="J52" s="615"/>
      <c r="K52" s="615"/>
      <c r="L52" s="615"/>
      <c r="M52" s="616"/>
    </row>
    <row r="53" spans="1:13" ht="12.75">
      <c r="A53" s="146"/>
      <c r="B53" s="615"/>
      <c r="C53" s="615"/>
      <c r="D53" s="615"/>
      <c r="E53" s="615"/>
      <c r="F53" s="615"/>
      <c r="G53" s="626"/>
      <c r="H53" s="626"/>
      <c r="I53" s="626"/>
      <c r="J53" s="615"/>
      <c r="K53" s="615"/>
      <c r="L53" s="615"/>
      <c r="M53" s="616"/>
    </row>
    <row r="54" spans="1:13" ht="12.75">
      <c r="A54" s="146"/>
      <c r="B54" s="615"/>
      <c r="C54" s="615"/>
      <c r="D54" s="615"/>
      <c r="E54" s="615"/>
      <c r="F54" s="615"/>
      <c r="G54" s="626"/>
      <c r="H54" s="626"/>
      <c r="I54" s="626"/>
      <c r="J54" s="615"/>
      <c r="K54" s="615"/>
      <c r="L54" s="615"/>
      <c r="M54" s="616"/>
    </row>
    <row r="55" spans="1:13" ht="12.75">
      <c r="A55" s="146"/>
      <c r="B55" s="615"/>
      <c r="C55" s="615"/>
      <c r="D55" s="615"/>
      <c r="E55" s="615"/>
      <c r="F55" s="615"/>
      <c r="G55" s="626"/>
      <c r="H55" s="626"/>
      <c r="I55" s="626"/>
      <c r="J55" s="615"/>
      <c r="K55" s="615"/>
      <c r="L55" s="615"/>
      <c r="M55" s="616"/>
    </row>
    <row r="56" spans="1:13" ht="12.75">
      <c r="A56" s="146"/>
      <c r="B56" s="615"/>
      <c r="C56" s="615"/>
      <c r="D56" s="615"/>
      <c r="E56" s="615"/>
      <c r="F56" s="615"/>
      <c r="G56" s="626"/>
      <c r="H56" s="626"/>
      <c r="I56" s="626"/>
      <c r="J56" s="615"/>
      <c r="K56" s="615"/>
      <c r="L56" s="615"/>
      <c r="M56" s="616"/>
    </row>
    <row r="57" spans="1:13" ht="12.75">
      <c r="A57" s="146"/>
      <c r="B57" s="615"/>
      <c r="C57" s="615"/>
      <c r="D57" s="615"/>
      <c r="E57" s="615"/>
      <c r="F57" s="615"/>
      <c r="G57" s="626"/>
      <c r="H57" s="626"/>
      <c r="I57" s="626"/>
      <c r="J57" s="615"/>
      <c r="K57" s="615"/>
      <c r="L57" s="615"/>
      <c r="M57" s="616"/>
    </row>
    <row r="58" spans="1:13" ht="12.75">
      <c r="A58" s="146"/>
      <c r="B58" s="615"/>
      <c r="C58" s="615"/>
      <c r="D58" s="615"/>
      <c r="E58" s="615"/>
      <c r="F58" s="615"/>
      <c r="G58" s="626"/>
      <c r="H58" s="626"/>
      <c r="I58" s="626"/>
      <c r="J58" s="615"/>
      <c r="K58" s="615"/>
      <c r="L58" s="615"/>
      <c r="M58" s="616"/>
    </row>
    <row r="59" spans="1:13" ht="12.75">
      <c r="A59" s="146"/>
      <c r="B59" s="615"/>
      <c r="C59" s="615"/>
      <c r="D59" s="615"/>
      <c r="E59" s="615"/>
      <c r="F59" s="615"/>
      <c r="G59" s="626"/>
      <c r="H59" s="626"/>
      <c r="I59" s="626"/>
      <c r="J59" s="615"/>
      <c r="K59" s="615"/>
      <c r="L59" s="615"/>
      <c r="M59" s="616"/>
    </row>
    <row r="60" spans="1:9" ht="12.75">
      <c r="A60" s="146"/>
      <c r="B60" s="626"/>
      <c r="C60" s="626"/>
      <c r="D60" s="626"/>
      <c r="E60" s="626"/>
      <c r="F60" s="626"/>
      <c r="G60" s="626"/>
      <c r="H60" s="626"/>
      <c r="I60" s="626"/>
    </row>
    <row r="61" spans="1:9" ht="12.75">
      <c r="A61" s="146"/>
      <c r="B61" s="626"/>
      <c r="C61" s="626"/>
      <c r="D61" s="626"/>
      <c r="E61" s="626"/>
      <c r="F61" s="626"/>
      <c r="G61" s="626"/>
      <c r="H61" s="626"/>
      <c r="I61" s="626"/>
    </row>
    <row r="62" spans="1:9" ht="12.75">
      <c r="A62" s="146"/>
      <c r="B62" s="626"/>
      <c r="C62" s="626"/>
      <c r="D62" s="626"/>
      <c r="E62" s="626"/>
      <c r="F62" s="626"/>
      <c r="G62" s="626"/>
      <c r="H62" s="626"/>
      <c r="I62" s="626"/>
    </row>
    <row r="63" spans="1:9" ht="12.75">
      <c r="A63" s="146"/>
      <c r="B63" s="626"/>
      <c r="C63" s="626"/>
      <c r="D63" s="626"/>
      <c r="E63" s="626"/>
      <c r="F63" s="626"/>
      <c r="G63" s="626"/>
      <c r="H63" s="626"/>
      <c r="I63" s="626"/>
    </row>
    <row r="64" spans="1:9" ht="12.75">
      <c r="A64" s="146"/>
      <c r="B64" s="626"/>
      <c r="C64" s="626"/>
      <c r="D64" s="626"/>
      <c r="E64" s="626"/>
      <c r="F64" s="626"/>
      <c r="G64" s="626"/>
      <c r="H64" s="626"/>
      <c r="I64" s="626"/>
    </row>
    <row r="65" spans="1:9" ht="12.75">
      <c r="A65" s="146"/>
      <c r="B65" s="626"/>
      <c r="C65" s="626"/>
      <c r="D65" s="626"/>
      <c r="E65" s="626"/>
      <c r="F65" s="626"/>
      <c r="G65" s="626"/>
      <c r="H65" s="626"/>
      <c r="I65" s="626"/>
    </row>
    <row r="66" spans="1:9" ht="12.75">
      <c r="A66" s="146"/>
      <c r="B66" s="626"/>
      <c r="C66" s="626"/>
      <c r="D66" s="626"/>
      <c r="E66" s="626"/>
      <c r="F66" s="626"/>
      <c r="G66" s="626"/>
      <c r="H66" s="626"/>
      <c r="I66" s="626"/>
    </row>
    <row r="67" spans="1:9" ht="12.75">
      <c r="A67" s="146"/>
      <c r="B67" s="626"/>
      <c r="C67" s="626"/>
      <c r="D67" s="626"/>
      <c r="E67" s="626"/>
      <c r="F67" s="626"/>
      <c r="G67" s="626"/>
      <c r="H67" s="626"/>
      <c r="I67" s="626"/>
    </row>
    <row r="68" spans="1:9" ht="12.75">
      <c r="A68" s="146"/>
      <c r="B68" s="626"/>
      <c r="C68" s="626"/>
      <c r="D68" s="626"/>
      <c r="E68" s="626"/>
      <c r="F68" s="626"/>
      <c r="G68" s="626"/>
      <c r="H68" s="626"/>
      <c r="I68" s="626"/>
    </row>
    <row r="69" spans="1:9" ht="12.75">
      <c r="A69" s="146"/>
      <c r="B69" s="626"/>
      <c r="C69" s="626"/>
      <c r="D69" s="626"/>
      <c r="E69" s="626"/>
      <c r="F69" s="626"/>
      <c r="G69" s="626"/>
      <c r="H69" s="626"/>
      <c r="I69" s="626"/>
    </row>
    <row r="70" spans="1:9" ht="12.75">
      <c r="A70" s="146"/>
      <c r="B70" s="626"/>
      <c r="C70" s="626"/>
      <c r="D70" s="626"/>
      <c r="E70" s="626"/>
      <c r="F70" s="626"/>
      <c r="G70" s="626"/>
      <c r="H70" s="626"/>
      <c r="I70" s="626"/>
    </row>
    <row r="71" spans="1:9" ht="12.75">
      <c r="A71" s="146"/>
      <c r="B71" s="626"/>
      <c r="C71" s="626"/>
      <c r="D71" s="626"/>
      <c r="E71" s="626"/>
      <c r="F71" s="626"/>
      <c r="G71" s="626"/>
      <c r="H71" s="626"/>
      <c r="I71" s="626"/>
    </row>
  </sheetData>
  <sheetProtection sheet="1" objects="1" scenarios="1"/>
  <printOptions/>
  <pageMargins left="0.75" right="0.54" top="0.61" bottom="0.52" header="0.23" footer="0.28"/>
  <pageSetup fitToHeight="1" fitToWidth="1" horizontalDpi="600" verticalDpi="600" orientation="portrait" paperSize="9" scale="84" r:id="rId2"/>
  <headerFooter alignWithMargins="0">
    <oddFooter>&amp;L&amp;"Arial,Fett"&amp;11© AGRIDEA&amp;"Arial,Standard"&amp;10  &amp;9budget partiel &amp;C&amp;9&amp;F&amp;R&amp;9&amp;P</oddFooter>
  </headerFooter>
  <colBreaks count="1" manualBreakCount="1">
    <brk id="1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6"/>
  <dimension ref="A1:IV424"/>
  <sheetViews>
    <sheetView workbookViewId="0" topLeftCell="A1">
      <selection activeCell="A1" sqref="A1"/>
    </sheetView>
  </sheetViews>
  <sheetFormatPr defaultColWidth="11.421875" defaultRowHeight="12.75"/>
  <cols>
    <col min="1" max="1" width="43.28125" style="6" customWidth="1"/>
    <col min="2" max="2" width="42.140625" style="6" customWidth="1"/>
    <col min="3" max="3" width="43.421875" style="6" customWidth="1"/>
    <col min="4" max="16384" width="42.140625" style="6" customWidth="1"/>
  </cols>
  <sheetData>
    <row r="1" ht="12.75">
      <c r="A1" s="6" t="s">
        <v>120</v>
      </c>
    </row>
    <row r="2" ht="12.75">
      <c r="A2" s="115">
        <f>VLOOKUP(README!C9,README!N9:O11,2)</f>
        <v>2</v>
      </c>
    </row>
    <row r="3" spans="2:4" ht="12.75">
      <c r="B3" s="113" t="s">
        <v>121</v>
      </c>
      <c r="C3" s="113" t="s">
        <v>122</v>
      </c>
      <c r="D3" s="113" t="s">
        <v>123</v>
      </c>
    </row>
    <row r="4" spans="1:4" s="113" customFormat="1" ht="12.75">
      <c r="A4" s="113" t="str">
        <f>IF($A$2=1,B4,IF($A$2=2,C4,IF($A$2=3,D4,"")))</f>
        <v>Conseils d'utilisation</v>
      </c>
      <c r="B4" s="113" t="s">
        <v>32</v>
      </c>
      <c r="C4" s="113" t="s">
        <v>105</v>
      </c>
      <c r="D4" s="506" t="s">
        <v>510</v>
      </c>
    </row>
    <row r="5" spans="1:4" ht="12.75">
      <c r="A5" s="114" t="str">
        <f aca="true" t="shared" si="0" ref="A5:A68">IF($A$2=1,B5,IF($A$2=2,C5,IF($A$2=3,D5,"")))</f>
        <v>PLVH</v>
      </c>
      <c r="B5" s="6" t="s">
        <v>301</v>
      </c>
      <c r="C5" s="6" t="s">
        <v>221</v>
      </c>
      <c r="D5" s="507" t="s">
        <v>511</v>
      </c>
    </row>
    <row r="6" spans="1:4" ht="12.75">
      <c r="A6" s="114" t="str">
        <f t="shared" si="0"/>
        <v>version: 1.4</v>
      </c>
      <c r="B6" s="6" t="s">
        <v>708</v>
      </c>
      <c r="C6" s="6" t="s">
        <v>709</v>
      </c>
      <c r="D6" s="507" t="s">
        <v>710</v>
      </c>
    </row>
    <row r="7" spans="1:4" ht="12.75">
      <c r="A7" s="114" t="str">
        <f t="shared" si="0"/>
        <v>correspondant Suisse-Bilanz Edition 1.13</v>
      </c>
      <c r="B7" s="6" t="s">
        <v>711</v>
      </c>
      <c r="C7" s="550" t="s">
        <v>712</v>
      </c>
      <c r="D7" s="770" t="s">
        <v>713</v>
      </c>
    </row>
    <row r="8" spans="1:4" ht="12.75">
      <c r="A8" s="114">
        <f t="shared" si="0"/>
        <v>0</v>
      </c>
      <c r="D8" s="771"/>
    </row>
    <row r="9" spans="1:4" ht="12.75">
      <c r="A9" s="114" t="str">
        <f t="shared" si="0"/>
        <v>Langue:</v>
      </c>
      <c r="B9" s="6" t="s">
        <v>124</v>
      </c>
      <c r="C9" s="6" t="s">
        <v>125</v>
      </c>
      <c r="D9" s="507" t="s">
        <v>126</v>
      </c>
    </row>
    <row r="10" spans="1:4" ht="12.75">
      <c r="A10" s="114" t="str">
        <f t="shared" si="0"/>
        <v>Conseils d'utilisation</v>
      </c>
      <c r="B10" s="6" t="s">
        <v>32</v>
      </c>
      <c r="C10" s="6" t="s">
        <v>105</v>
      </c>
      <c r="D10" s="507" t="s">
        <v>510</v>
      </c>
    </row>
    <row r="11" spans="1:4" ht="12.75">
      <c r="A11" s="114" t="str">
        <f t="shared" si="0"/>
        <v>Cases vertes:</v>
      </c>
      <c r="B11" s="6" t="s">
        <v>38</v>
      </c>
      <c r="C11" s="6" t="s">
        <v>106</v>
      </c>
      <c r="D11" s="507" t="s">
        <v>762</v>
      </c>
    </row>
    <row r="12" spans="1:4" ht="12.75">
      <c r="A12" s="114" t="str">
        <f t="shared" si="0"/>
        <v>Cases jaunes:</v>
      </c>
      <c r="B12" s="6" t="s">
        <v>39</v>
      </c>
      <c r="C12" s="6" t="s">
        <v>107</v>
      </c>
      <c r="D12" s="507" t="s">
        <v>763</v>
      </c>
    </row>
    <row r="13" spans="1:4" ht="12.75">
      <c r="A13" s="114" t="str">
        <f t="shared" si="0"/>
        <v>Cases blanches:</v>
      </c>
      <c r="B13" s="6" t="s">
        <v>40</v>
      </c>
      <c r="C13" s="6" t="s">
        <v>1240</v>
      </c>
      <c r="D13" s="507" t="s">
        <v>764</v>
      </c>
    </row>
    <row r="14" spans="1:4" ht="12.75">
      <c r="A14" s="114" t="str">
        <f t="shared" si="0"/>
        <v>listes déroulantes </v>
      </c>
      <c r="B14" s="6" t="s">
        <v>1242</v>
      </c>
      <c r="C14" s="6" t="s">
        <v>1241</v>
      </c>
      <c r="D14" s="507" t="s">
        <v>512</v>
      </c>
    </row>
    <row r="15" spans="1:4" ht="12.75">
      <c r="A15" s="114" t="str">
        <f t="shared" si="0"/>
        <v>saisie des données</v>
      </c>
      <c r="B15" s="6" t="s">
        <v>104</v>
      </c>
      <c r="C15" s="6" t="s">
        <v>1243</v>
      </c>
      <c r="D15" s="507" t="s">
        <v>513</v>
      </c>
    </row>
    <row r="16" spans="1:4" ht="12.75">
      <c r="A16" s="114" t="str">
        <f t="shared" si="0"/>
        <v>cases bloquées à la saisie</v>
      </c>
      <c r="B16" s="6" t="s">
        <v>41</v>
      </c>
      <c r="C16" s="6" t="s">
        <v>1244</v>
      </c>
      <c r="D16" s="507" t="s">
        <v>514</v>
      </c>
    </row>
    <row r="17" spans="1:4" ht="12.75">
      <c r="A17" s="114" t="str">
        <f t="shared" si="0"/>
        <v>Marche à suivre:</v>
      </c>
      <c r="B17" s="6" t="s">
        <v>42</v>
      </c>
      <c r="C17" s="114" t="s">
        <v>382</v>
      </c>
      <c r="D17" s="507" t="s">
        <v>768</v>
      </c>
    </row>
    <row r="18" spans="1:4" ht="12.75">
      <c r="A18" s="114" t="str">
        <f t="shared" si="0"/>
        <v>Principe: Il faut une correspondance avec le Suisse-Bilanz.</v>
      </c>
      <c r="B18" s="6" t="s">
        <v>54</v>
      </c>
      <c r="C18" s="114" t="s">
        <v>383</v>
      </c>
      <c r="D18" s="507" t="s">
        <v>515</v>
      </c>
    </row>
    <row r="19" spans="1:4" ht="12.75">
      <c r="A19" s="114" t="str">
        <f t="shared" si="0"/>
        <v>1. Saisir les indications d'exploitation, en particulier la région</v>
      </c>
      <c r="B19" s="6" t="s">
        <v>882</v>
      </c>
      <c r="C19" s="114" t="s">
        <v>883</v>
      </c>
      <c r="D19" s="507" t="s">
        <v>884</v>
      </c>
    </row>
    <row r="20" spans="1:4" ht="12.75">
      <c r="A20" s="114" t="str">
        <f t="shared" si="0"/>
        <v>2. Partie A: Consommation de fourrages et de concentrés</v>
      </c>
      <c r="B20" s="114" t="s">
        <v>898</v>
      </c>
      <c r="C20" s="114" t="s">
        <v>899</v>
      </c>
      <c r="D20" s="507" t="s">
        <v>900</v>
      </c>
    </row>
    <row r="21" spans="1:4" ht="12.75">
      <c r="A21" s="114" t="str">
        <f t="shared" si="0"/>
        <v>    - Saisir tous les animaux consommant des fourrages</v>
      </c>
      <c r="B21" s="161" t="s">
        <v>915</v>
      </c>
      <c r="C21" s="114" t="s">
        <v>930</v>
      </c>
      <c r="D21" s="114" t="s">
        <v>670</v>
      </c>
    </row>
    <row r="22" spans="1:4" ht="12.75">
      <c r="A22" s="114" t="str">
        <f t="shared" si="0"/>
        <v>    - Saisir la consommation total des concentrés par catégorie d'animaux</v>
      </c>
      <c r="B22" s="6" t="s">
        <v>838</v>
      </c>
      <c r="C22" s="114" t="s">
        <v>835</v>
      </c>
      <c r="D22" s="114" t="s">
        <v>836</v>
      </c>
    </row>
    <row r="23" spans="1:4" ht="12.75">
      <c r="A23" s="114" t="str">
        <f t="shared" si="0"/>
        <v>      consommés sur l’exploitation à l’année (sans estivage).</v>
      </c>
      <c r="B23" s="96" t="s">
        <v>840</v>
      </c>
      <c r="C23" s="114" t="s">
        <v>839</v>
      </c>
      <c r="D23" s="114" t="s">
        <v>837</v>
      </c>
    </row>
    <row r="24" spans="1:4" ht="12.75">
      <c r="A24" s="114" t="str">
        <f t="shared" si="0"/>
        <v>    - Estivage: Concernant le nombre d’animaux, il s’agit de saisir particulièrement les </v>
      </c>
      <c r="B24" s="670" t="s">
        <v>950</v>
      </c>
      <c r="C24" s="675" t="s">
        <v>972</v>
      </c>
      <c r="D24" s="675" t="s">
        <v>671</v>
      </c>
    </row>
    <row r="25" spans="1:4" ht="12.75">
      <c r="A25" s="114" t="str">
        <f t="shared" si="0"/>
        <v>      données sur le nombre d’animaux estivés (en positif) et le nombre de jours d’estivage.</v>
      </c>
      <c r="B25" s="670" t="s">
        <v>952</v>
      </c>
      <c r="C25" s="114" t="s">
        <v>951</v>
      </c>
      <c r="D25" s="114" t="s">
        <v>672</v>
      </c>
    </row>
    <row r="26" spans="1:4" ht="12.75">
      <c r="A26" s="114" t="str">
        <f t="shared" si="0"/>
        <v>    - L’affouragement d’aliments complémentaires durant l’estivage n’est autorisé que pour les animaux</v>
      </c>
      <c r="B26" s="550" t="s">
        <v>967</v>
      </c>
      <c r="C26" s="114" t="s">
        <v>975</v>
      </c>
      <c r="D26" s="114" t="s">
        <v>673</v>
      </c>
    </row>
    <row r="27" spans="1:4" ht="12.75">
      <c r="A27" s="114" t="str">
        <f t="shared" si="0"/>
        <v>      traits des catégories suivantes : vaches laitières, chèvres et brebis. Indiquer les quantités effectives.</v>
      </c>
      <c r="B27" s="550" t="s">
        <v>960</v>
      </c>
      <c r="C27" s="6" t="s">
        <v>976</v>
      </c>
      <c r="D27" s="114" t="s">
        <v>676</v>
      </c>
    </row>
    <row r="28" spans="1:4" ht="12.75">
      <c r="A28" s="114" t="str">
        <f t="shared" si="0"/>
        <v>    - Les définitions contenues dans l’annexe 5 de l’OPD sont aussi valables pour </v>
      </c>
      <c r="B28" s="550" t="s">
        <v>970</v>
      </c>
      <c r="C28" s="6" t="s">
        <v>973</v>
      </c>
      <c r="D28" s="114" t="s">
        <v>674</v>
      </c>
    </row>
    <row r="29" spans="1:4" ht="12.75">
      <c r="A29" s="114" t="str">
        <f t="shared" si="0"/>
        <v>      les aliments de base et complémentaires affouragés durant l’estivage.</v>
      </c>
      <c r="B29" s="550" t="s">
        <v>971</v>
      </c>
      <c r="C29" s="6" t="s">
        <v>974</v>
      </c>
      <c r="D29" s="114" t="s">
        <v>675</v>
      </c>
    </row>
    <row r="30" spans="1:4" ht="12.75">
      <c r="A30" s="114" t="str">
        <f t="shared" si="0"/>
        <v>3. Partie B: Production de fourrages</v>
      </c>
      <c r="B30" s="6" t="s">
        <v>932</v>
      </c>
      <c r="C30" s="487" t="s">
        <v>933</v>
      </c>
      <c r="D30" s="507" t="s">
        <v>936</v>
      </c>
    </row>
    <row r="31" spans="1:4" ht="12.75">
      <c r="A31" s="114" t="str">
        <f t="shared" si="0"/>
        <v>    - Saisir les surfaces et les rendements.</v>
      </c>
      <c r="B31" s="6" t="s">
        <v>931</v>
      </c>
      <c r="C31" s="487" t="s">
        <v>934</v>
      </c>
      <c r="D31" s="507" t="s">
        <v>935</v>
      </c>
    </row>
    <row r="32" spans="1:4" ht="12.75">
      <c r="A32" s="114" t="str">
        <f t="shared" si="0"/>
        <v>    - Des valeurs maximales sont fixées pour les rendements des prairies et des pâturages.</v>
      </c>
      <c r="B32" s="6" t="s">
        <v>937</v>
      </c>
      <c r="C32" s="114" t="s">
        <v>938</v>
      </c>
      <c r="D32" s="507" t="s">
        <v>939</v>
      </c>
    </row>
    <row r="33" spans="1:4" ht="12.75">
      <c r="A33" s="114" t="str">
        <f t="shared" si="0"/>
        <v>    - Si les rendements dépassent ces valeurs, une expertise par un spécialiste est nécessaire.</v>
      </c>
      <c r="B33" s="6" t="s">
        <v>940</v>
      </c>
      <c r="C33" s="114" t="s">
        <v>941</v>
      </c>
      <c r="D33" s="507" t="s">
        <v>942</v>
      </c>
    </row>
    <row r="34" spans="1:4" ht="12.75">
      <c r="A34" s="114" t="str">
        <f t="shared" si="0"/>
        <v>    - Les rendements des cultures dérobées sont limités à 25 dt MS.</v>
      </c>
      <c r="B34" s="6" t="s">
        <v>943</v>
      </c>
      <c r="C34" s="114" t="s">
        <v>944</v>
      </c>
      <c r="D34" s="507" t="s">
        <v>945</v>
      </c>
    </row>
    <row r="35" spans="1:4" ht="12.75">
      <c r="A35" s="114" t="str">
        <f t="shared" si="0"/>
        <v>4. Indications pour le calcul de la charge en bétail minimale</v>
      </c>
      <c r="B35" s="6" t="s">
        <v>948</v>
      </c>
      <c r="C35" s="114" t="s">
        <v>978</v>
      </c>
      <c r="D35" s="507" t="s">
        <v>983</v>
      </c>
    </row>
    <row r="36" spans="1:4" ht="12.75">
      <c r="A36" s="114" t="str">
        <f t="shared" si="0"/>
        <v>    - Pour chaque zone, saisir le total des surfaces herbagères permantentes et temporaires, ainsi</v>
      </c>
      <c r="B36" s="6" t="s">
        <v>946</v>
      </c>
      <c r="C36" s="114" t="s">
        <v>979</v>
      </c>
      <c r="D36" s="507" t="s">
        <v>981</v>
      </c>
    </row>
    <row r="37" spans="1:4" ht="12.75">
      <c r="A37" s="114" t="str">
        <f t="shared" si="0"/>
        <v>      que le total des surfaces pour la promotion de la biodiversité (SPB).</v>
      </c>
      <c r="B37" s="6" t="s">
        <v>947</v>
      </c>
      <c r="C37" s="114" t="s">
        <v>980</v>
      </c>
      <c r="D37" s="507" t="s">
        <v>982</v>
      </c>
    </row>
    <row r="38" spans="1:4" ht="12.75">
      <c r="A38" s="114" t="str">
        <f t="shared" si="0"/>
        <v>    - Pour chaque zone, saisir le total des surfaces pour la promotion de la biodiversité</v>
      </c>
      <c r="B38" s="6" t="s">
        <v>1154</v>
      </c>
      <c r="C38" s="114" t="s">
        <v>984</v>
      </c>
      <c r="D38" s="507" t="s">
        <v>1153</v>
      </c>
    </row>
    <row r="39" spans="1:4" ht="12.75">
      <c r="A39" s="114" t="str">
        <f t="shared" si="0"/>
        <v>4. Partie C: Saisir les achats et les ventes de fourrages</v>
      </c>
      <c r="B39" s="6" t="s">
        <v>961</v>
      </c>
      <c r="C39" s="114" t="s">
        <v>963</v>
      </c>
      <c r="D39" s="507" t="s">
        <v>965</v>
      </c>
    </row>
    <row r="40" spans="1:4" ht="12.75">
      <c r="A40" s="114" t="str">
        <f t="shared" si="0"/>
        <v>    - Choisir le code: Vente, Achat ou Hors SF.</v>
      </c>
      <c r="B40" s="6" t="s">
        <v>1155</v>
      </c>
      <c r="C40" s="487" t="s">
        <v>1159</v>
      </c>
      <c r="D40" s="507" t="s">
        <v>1163</v>
      </c>
    </row>
    <row r="41" spans="1:4" ht="12.75">
      <c r="A41" s="114" t="str">
        <f t="shared" si="0"/>
        <v>    - Attention: Le bilan des fourrages doit être equilibré: comparer le </v>
      </c>
      <c r="B41" s="6" t="s">
        <v>1156</v>
      </c>
      <c r="C41" s="114" t="s">
        <v>1160</v>
      </c>
      <c r="D41" s="507" t="s">
        <v>1164</v>
      </c>
    </row>
    <row r="42" spans="1:4" ht="12.75">
      <c r="A42" s="114" t="str">
        <f t="shared" si="0"/>
        <v>      total "B1: Production totale de fourrages" et</v>
      </c>
      <c r="B42" s="6" t="s">
        <v>1157</v>
      </c>
      <c r="C42" s="114" t="s">
        <v>1161</v>
      </c>
      <c r="D42" s="507" t="s">
        <v>1165</v>
      </c>
    </row>
    <row r="43" spans="1:4" ht="12.75">
      <c r="A43" s="114" t="str">
        <f t="shared" si="0"/>
        <v>      "Total des fourrages à produire sur l'exploitation".</v>
      </c>
      <c r="B43" s="6" t="s">
        <v>1158</v>
      </c>
      <c r="C43" s="114" t="s">
        <v>1162</v>
      </c>
      <c r="D43" s="507" t="s">
        <v>1166</v>
      </c>
    </row>
    <row r="44" spans="1:4" ht="12.75">
      <c r="A44" s="114" t="str">
        <f t="shared" si="0"/>
        <v>5. Partie D: Bilan des fourrages</v>
      </c>
      <c r="B44" s="6" t="s">
        <v>962</v>
      </c>
      <c r="C44" s="114" t="s">
        <v>964</v>
      </c>
      <c r="D44" s="508" t="s">
        <v>966</v>
      </c>
    </row>
    <row r="45" spans="1:4" ht="12.75">
      <c r="A45" s="114" t="str">
        <f t="shared" si="0"/>
        <v>    - Le Bilan des fourrages montre, en tenant compte des régions,</v>
      </c>
      <c r="B45" s="6" t="s">
        <v>1167</v>
      </c>
      <c r="C45" s="114" t="s">
        <v>1171</v>
      </c>
      <c r="D45" s="508" t="s">
        <v>1175</v>
      </c>
    </row>
    <row r="46" spans="1:4" ht="12.75">
      <c r="A46" s="114" t="str">
        <f t="shared" si="0"/>
        <v>      si la condition concernant la part minimale dans la ration est remplie ou non</v>
      </c>
      <c r="B46" s="6" t="s">
        <v>1168</v>
      </c>
      <c r="C46" s="114" t="s">
        <v>1172</v>
      </c>
      <c r="D46" s="508" t="s">
        <v>1176</v>
      </c>
    </row>
    <row r="47" spans="1:4" ht="12.75">
      <c r="A47" s="114" t="str">
        <f t="shared" si="0"/>
        <v>      vert=condition remplie</v>
      </c>
      <c r="B47" s="6" t="s">
        <v>1169</v>
      </c>
      <c r="C47" s="114" t="s">
        <v>1173</v>
      </c>
      <c r="D47" s="507" t="s">
        <v>1177</v>
      </c>
    </row>
    <row r="48" spans="1:4" ht="12.75">
      <c r="A48" s="114" t="str">
        <f t="shared" si="0"/>
        <v>      rouge=condition non remplie</v>
      </c>
      <c r="B48" s="6" t="s">
        <v>1170</v>
      </c>
      <c r="C48" s="114" t="s">
        <v>1174</v>
      </c>
      <c r="D48" s="507" t="s">
        <v>1178</v>
      </c>
    </row>
    <row r="49" spans="1:4" ht="12.75">
      <c r="A49" s="114" t="str">
        <f t="shared" si="0"/>
        <v>Indications:</v>
      </c>
      <c r="B49" s="6" t="s">
        <v>362</v>
      </c>
      <c r="C49" s="114" t="s">
        <v>384</v>
      </c>
      <c r="D49" s="507" t="s">
        <v>516</v>
      </c>
    </row>
    <row r="50" spans="1:4" s="113" customFormat="1" ht="12.75">
      <c r="A50" s="113" t="str">
        <f t="shared" si="0"/>
        <v>Bilan</v>
      </c>
      <c r="B50" s="113" t="s">
        <v>202</v>
      </c>
      <c r="C50" s="113" t="s">
        <v>22</v>
      </c>
      <c r="D50" s="555" t="s">
        <v>741</v>
      </c>
    </row>
    <row r="51" spans="1:4" ht="12.75">
      <c r="A51" s="114" t="str">
        <f t="shared" si="0"/>
        <v>Bilan des fourrages pour la production </v>
      </c>
      <c r="B51" s="6" t="s">
        <v>1188</v>
      </c>
      <c r="C51" s="6" t="s">
        <v>30</v>
      </c>
      <c r="D51" s="507" t="s">
        <v>517</v>
      </c>
    </row>
    <row r="52" spans="1:4" ht="12.75">
      <c r="A52" s="114" t="str">
        <f t="shared" si="0"/>
        <v>de lait et de viande basée sur les herbages</v>
      </c>
      <c r="B52" s="6" t="s">
        <v>1189</v>
      </c>
      <c r="C52" s="6" t="s">
        <v>31</v>
      </c>
      <c r="D52" s="507" t="s">
        <v>518</v>
      </c>
    </row>
    <row r="53" spans="1:4" ht="12.75">
      <c r="A53" s="114" t="str">
        <f t="shared" si="0"/>
        <v>No d'exploitation</v>
      </c>
      <c r="B53" s="6" t="s">
        <v>282</v>
      </c>
      <c r="C53" s="6" t="s">
        <v>52</v>
      </c>
      <c r="D53" s="507" t="s">
        <v>519</v>
      </c>
    </row>
    <row r="54" spans="1:4" ht="12.75">
      <c r="A54" s="114" t="str">
        <f t="shared" si="0"/>
        <v>Année de récolte</v>
      </c>
      <c r="B54" s="6" t="s">
        <v>283</v>
      </c>
      <c r="C54" s="6" t="s">
        <v>284</v>
      </c>
      <c r="D54" s="507" t="s">
        <v>520</v>
      </c>
    </row>
    <row r="55" spans="1:4" ht="12.75">
      <c r="A55" s="114" t="str">
        <f t="shared" si="0"/>
        <v>Nom / Prénom</v>
      </c>
      <c r="B55" s="6" t="s">
        <v>285</v>
      </c>
      <c r="C55" s="6" t="s">
        <v>385</v>
      </c>
      <c r="D55" s="507" t="s">
        <v>521</v>
      </c>
    </row>
    <row r="56" spans="1:4" ht="12.75">
      <c r="A56" s="114" t="str">
        <f t="shared" si="0"/>
        <v>Variante</v>
      </c>
      <c r="B56" s="6" t="s">
        <v>88</v>
      </c>
      <c r="C56" s="6" t="s">
        <v>88</v>
      </c>
      <c r="D56" s="507" t="s">
        <v>522</v>
      </c>
    </row>
    <row r="57" spans="1:4" ht="12.75">
      <c r="A57" s="114" t="str">
        <f t="shared" si="0"/>
        <v>Rue / Exploitation</v>
      </c>
      <c r="B57" s="6" t="s">
        <v>286</v>
      </c>
      <c r="C57" s="6" t="s">
        <v>386</v>
      </c>
      <c r="D57" s="507" t="s">
        <v>523</v>
      </c>
    </row>
    <row r="58" spans="1:4" ht="12.75">
      <c r="A58" s="114" t="str">
        <f t="shared" si="0"/>
        <v>Canton</v>
      </c>
      <c r="B58" s="6" t="s">
        <v>290</v>
      </c>
      <c r="C58" s="6" t="s">
        <v>291</v>
      </c>
      <c r="D58" s="507" t="s">
        <v>524</v>
      </c>
    </row>
    <row r="59" spans="1:4" ht="12.75">
      <c r="A59" s="114" t="str">
        <f t="shared" si="0"/>
        <v>NPA / Localité</v>
      </c>
      <c r="B59" s="6" t="s">
        <v>287</v>
      </c>
      <c r="C59" s="6" t="s">
        <v>387</v>
      </c>
      <c r="D59" s="507" t="s">
        <v>525</v>
      </c>
    </row>
    <row r="60" spans="1:4" ht="12.75">
      <c r="A60" s="114" t="str">
        <f t="shared" si="0"/>
        <v>Fax / E-mail</v>
      </c>
      <c r="B60" s="6" t="s">
        <v>292</v>
      </c>
      <c r="C60" s="6" t="s">
        <v>388</v>
      </c>
      <c r="D60" s="507" t="s">
        <v>526</v>
      </c>
    </row>
    <row r="61" spans="1:4" ht="12.75">
      <c r="A61" s="114" t="str">
        <f t="shared" si="0"/>
        <v>Téléphone</v>
      </c>
      <c r="B61" s="6" t="s">
        <v>288</v>
      </c>
      <c r="C61" s="6" t="s">
        <v>289</v>
      </c>
      <c r="D61" s="507" t="s">
        <v>527</v>
      </c>
    </row>
    <row r="62" spans="1:4" ht="12.75">
      <c r="A62" s="114" t="str">
        <f t="shared" si="0"/>
        <v>Mobile</v>
      </c>
      <c r="B62" s="6" t="s">
        <v>229</v>
      </c>
      <c r="C62" s="6" t="s">
        <v>389</v>
      </c>
      <c r="D62" s="507" t="s">
        <v>528</v>
      </c>
    </row>
    <row r="63" spans="1:4" ht="12.75">
      <c r="A63" s="114" t="str">
        <f t="shared" si="0"/>
        <v>Surf. agricole utile</v>
      </c>
      <c r="B63" s="6" t="s">
        <v>72</v>
      </c>
      <c r="C63" s="6" t="s">
        <v>53</v>
      </c>
      <c r="D63" s="507" t="s">
        <v>776</v>
      </c>
    </row>
    <row r="64" spans="1:4" ht="12.75">
      <c r="A64" s="114" t="str">
        <f t="shared" si="0"/>
        <v>Altitude</v>
      </c>
      <c r="B64" s="6" t="s">
        <v>66</v>
      </c>
      <c r="C64" s="6" t="s">
        <v>67</v>
      </c>
      <c r="D64" s="507" t="s">
        <v>529</v>
      </c>
    </row>
    <row r="65" spans="1:4" ht="12.75">
      <c r="A65" s="114" t="str">
        <f t="shared" si="0"/>
        <v>régions</v>
      </c>
      <c r="B65" s="6" t="s">
        <v>826</v>
      </c>
      <c r="C65" s="550" t="s">
        <v>885</v>
      </c>
      <c r="D65" s="770" t="s">
        <v>886</v>
      </c>
    </row>
    <row r="66" spans="1:4" ht="12.75">
      <c r="A66" s="114" t="str">
        <f t="shared" si="0"/>
        <v>région de plaine</v>
      </c>
      <c r="B66" s="6" t="s">
        <v>375</v>
      </c>
      <c r="C66" s="550" t="s">
        <v>869</v>
      </c>
      <c r="D66" s="770" t="s">
        <v>816</v>
      </c>
    </row>
    <row r="67" spans="1:4" ht="12.75">
      <c r="A67" s="114" t="str">
        <f t="shared" si="0"/>
        <v>région de montagne</v>
      </c>
      <c r="B67" s="6" t="s">
        <v>376</v>
      </c>
      <c r="C67" s="550" t="s">
        <v>379</v>
      </c>
      <c r="D67" s="770" t="s">
        <v>815</v>
      </c>
    </row>
    <row r="68" spans="1:4" ht="12.75">
      <c r="A68" s="114" t="str">
        <f t="shared" si="0"/>
        <v>Mode d'exploitation</v>
      </c>
      <c r="B68" s="6" t="s">
        <v>68</v>
      </c>
      <c r="C68" s="6" t="s">
        <v>69</v>
      </c>
      <c r="D68" s="507" t="s">
        <v>536</v>
      </c>
    </row>
    <row r="69" spans="1:4" ht="12.75">
      <c r="A69" s="114" t="str">
        <f aca="true" t="shared" si="1" ref="A69:A79">IF($A$2=1,B69,IF($A$2=2,C69,IF($A$2=3,D69,"")))</f>
        <v>PER : pas remplies</v>
      </c>
      <c r="B69" s="6" t="s">
        <v>1245</v>
      </c>
      <c r="C69" s="6" t="s">
        <v>1246</v>
      </c>
      <c r="D69" s="507" t="s">
        <v>537</v>
      </c>
    </row>
    <row r="70" spans="1:4" ht="12.75">
      <c r="A70" s="114" t="str">
        <f t="shared" si="1"/>
        <v>PER : remplies</v>
      </c>
      <c r="B70" s="6" t="s">
        <v>1247</v>
      </c>
      <c r="C70" s="6" t="s">
        <v>1248</v>
      </c>
      <c r="D70" s="507" t="s">
        <v>538</v>
      </c>
    </row>
    <row r="71" spans="1:4" ht="12.75">
      <c r="A71" s="114" t="str">
        <f t="shared" si="1"/>
        <v>Culture biologique</v>
      </c>
      <c r="B71" s="6" t="s">
        <v>9</v>
      </c>
      <c r="C71" s="6" t="s">
        <v>10</v>
      </c>
      <c r="D71" s="507" t="s">
        <v>539</v>
      </c>
    </row>
    <row r="72" spans="1:4" ht="12.75">
      <c r="A72" s="114" t="str">
        <f t="shared" si="1"/>
        <v>Communauté</v>
      </c>
      <c r="B72" s="6" t="s">
        <v>293</v>
      </c>
      <c r="C72" s="6" t="s">
        <v>71</v>
      </c>
      <c r="D72" s="507" t="s">
        <v>540</v>
      </c>
    </row>
    <row r="73" spans="1:4" ht="12.75">
      <c r="A73" s="114" t="str">
        <f t="shared" si="1"/>
        <v>aucune</v>
      </c>
      <c r="B73" s="6" t="s">
        <v>50</v>
      </c>
      <c r="C73" s="6" t="s">
        <v>51</v>
      </c>
      <c r="D73" s="507" t="s">
        <v>541</v>
      </c>
    </row>
    <row r="74" spans="1:4" ht="12.75">
      <c r="A74" s="114" t="str">
        <f t="shared" si="1"/>
        <v>Communauté / une exploitation</v>
      </c>
      <c r="B74" s="6" t="s">
        <v>58</v>
      </c>
      <c r="C74" s="6" t="s">
        <v>59</v>
      </c>
      <c r="D74" s="507" t="s">
        <v>542</v>
      </c>
    </row>
    <row r="75" spans="1:4" ht="12.75">
      <c r="A75" s="114" t="str">
        <f t="shared" si="1"/>
        <v>avec 2 exploitations</v>
      </c>
      <c r="B75" s="6" t="s">
        <v>60</v>
      </c>
      <c r="C75" s="6" t="s">
        <v>61</v>
      </c>
      <c r="D75" s="507" t="s">
        <v>543</v>
      </c>
    </row>
    <row r="76" spans="1:4" ht="12.75">
      <c r="A76" s="114" t="str">
        <f t="shared" si="1"/>
        <v>avec 3 exploitations</v>
      </c>
      <c r="B76" s="6" t="s">
        <v>62</v>
      </c>
      <c r="C76" s="6" t="s">
        <v>1212</v>
      </c>
      <c r="D76" s="507" t="s">
        <v>544</v>
      </c>
    </row>
    <row r="77" spans="1:4" ht="12.75">
      <c r="A77" s="114" t="str">
        <f t="shared" si="1"/>
        <v>avec 4 exploitations</v>
      </c>
      <c r="B77" s="6" t="s">
        <v>1213</v>
      </c>
      <c r="C77" s="6" t="s">
        <v>1214</v>
      </c>
      <c r="D77" s="507" t="s">
        <v>545</v>
      </c>
    </row>
    <row r="78" spans="1:4" ht="12.75">
      <c r="A78" s="114" t="str">
        <f t="shared" si="1"/>
        <v>Conseiller(ère)</v>
      </c>
      <c r="B78" s="6" t="s">
        <v>238</v>
      </c>
      <c r="C78" s="6" t="s">
        <v>237</v>
      </c>
      <c r="D78" s="507" t="s">
        <v>546</v>
      </c>
    </row>
    <row r="79" spans="1:4" ht="12.75">
      <c r="A79" s="114" t="str">
        <f t="shared" si="1"/>
        <v>Remarques</v>
      </c>
      <c r="B79" s="6" t="s">
        <v>295</v>
      </c>
      <c r="C79" s="6" t="s">
        <v>296</v>
      </c>
      <c r="D79" s="507" t="s">
        <v>547</v>
      </c>
    </row>
    <row r="80" spans="1:4" s="113" customFormat="1" ht="12.75">
      <c r="A80" s="113" t="str">
        <f aca="true" t="shared" si="2" ref="A80:A119">IF($A$2=1,B80,IF($A$2=2,C80,IF($A$2=3,D80,"")))</f>
        <v>Partie A: Consommation de fourrages de base et de concentrés</v>
      </c>
      <c r="B80" s="113" t="s">
        <v>1205</v>
      </c>
      <c r="C80" s="113" t="s">
        <v>433</v>
      </c>
      <c r="D80" s="506" t="s">
        <v>548</v>
      </c>
    </row>
    <row r="81" spans="1:5" ht="12.75">
      <c r="A81" s="114" t="str">
        <f t="shared" si="2"/>
        <v>Conc. Tot. VL sur SAU</v>
      </c>
      <c r="B81" s="6" t="s">
        <v>420</v>
      </c>
      <c r="C81" s="6" t="s">
        <v>421</v>
      </c>
      <c r="D81" s="507" t="s">
        <v>788</v>
      </c>
      <c r="E81" s="507"/>
    </row>
    <row r="82" spans="1:4" ht="12.75">
      <c r="A82" s="114" t="str">
        <f t="shared" si="2"/>
        <v>dt/an</v>
      </c>
      <c r="B82" s="6" t="s">
        <v>422</v>
      </c>
      <c r="C82" s="82" t="s">
        <v>423</v>
      </c>
      <c r="D82" s="507" t="s">
        <v>424</v>
      </c>
    </row>
    <row r="83" spans="1:5" ht="12.75">
      <c r="A83" s="114" t="str">
        <f t="shared" si="2"/>
        <v>Affouragement pdt ou betterave?</v>
      </c>
      <c r="B83" s="6" t="s">
        <v>11</v>
      </c>
      <c r="C83" s="6" t="s">
        <v>390</v>
      </c>
      <c r="D83" s="507" t="s">
        <v>782</v>
      </c>
      <c r="E83" s="507"/>
    </row>
    <row r="84" spans="1:4" ht="12.75">
      <c r="A84" s="114" t="str">
        <f t="shared" si="2"/>
        <v>Affouragement libre service?</v>
      </c>
      <c r="B84" s="6" t="s">
        <v>12</v>
      </c>
      <c r="C84" s="6" t="s">
        <v>13</v>
      </c>
      <c r="D84" s="507" t="s">
        <v>549</v>
      </c>
    </row>
    <row r="85" spans="1:4" ht="12.75">
      <c r="A85" s="114" t="str">
        <f t="shared" si="2"/>
        <v>oui</v>
      </c>
      <c r="B85" s="6" t="s">
        <v>14</v>
      </c>
      <c r="C85" s="6" t="s">
        <v>15</v>
      </c>
      <c r="D85" s="507" t="s">
        <v>550</v>
      </c>
    </row>
    <row r="86" spans="1:4" ht="12.75">
      <c r="A86" s="114" t="str">
        <f t="shared" si="2"/>
        <v>non</v>
      </c>
      <c r="B86" s="6" t="s">
        <v>16</v>
      </c>
      <c r="C86" s="6" t="s">
        <v>17</v>
      </c>
      <c r="D86" s="507" t="s">
        <v>551</v>
      </c>
    </row>
    <row r="87" spans="1:4" ht="12.75">
      <c r="A87" s="114" t="str">
        <f t="shared" si="2"/>
        <v>Catégorie d'animal</v>
      </c>
      <c r="B87" s="6" t="s">
        <v>18</v>
      </c>
      <c r="C87" s="6" t="s">
        <v>167</v>
      </c>
      <c r="D87" s="507" t="s">
        <v>552</v>
      </c>
    </row>
    <row r="88" spans="1:4" ht="12.75">
      <c r="A88" s="114" t="str">
        <f t="shared" si="2"/>
        <v>Unité</v>
      </c>
      <c r="B88" s="6" t="s">
        <v>73</v>
      </c>
      <c r="C88" s="6" t="s">
        <v>341</v>
      </c>
      <c r="D88" s="507" t="s">
        <v>553</v>
      </c>
    </row>
    <row r="89" spans="1:4" ht="12.75">
      <c r="A89" s="114" t="str">
        <f t="shared" si="2"/>
        <v>Nbre</v>
      </c>
      <c r="B89" s="6" t="s">
        <v>152</v>
      </c>
      <c r="C89" s="6" t="s">
        <v>169</v>
      </c>
      <c r="D89" s="507" t="s">
        <v>554</v>
      </c>
    </row>
    <row r="90" spans="1:4" ht="12.75">
      <c r="A90" s="114" t="str">
        <f t="shared" si="2"/>
        <v>Déduction /</v>
      </c>
      <c r="B90" s="6" t="s">
        <v>146</v>
      </c>
      <c r="C90" s="6" t="s">
        <v>147</v>
      </c>
      <c r="D90" s="507" t="s">
        <v>555</v>
      </c>
    </row>
    <row r="91" spans="1:4" ht="12.75">
      <c r="A91" s="114" t="str">
        <f t="shared" si="2"/>
        <v>supplément.</v>
      </c>
      <c r="B91" s="6" t="s">
        <v>148</v>
      </c>
      <c r="C91" s="6" t="s">
        <v>149</v>
      </c>
      <c r="D91" s="507" t="s">
        <v>567</v>
      </c>
    </row>
    <row r="92" spans="1:4" ht="12.75">
      <c r="A92" s="114" t="str">
        <f t="shared" si="2"/>
        <v>± bêtes</v>
      </c>
      <c r="B92" s="6" t="s">
        <v>150</v>
      </c>
      <c r="C92" s="6" t="s">
        <v>391</v>
      </c>
      <c r="D92" s="507" t="s">
        <v>777</v>
      </c>
    </row>
    <row r="93" spans="1:4" ht="12.75">
      <c r="A93" s="114" t="str">
        <f t="shared" si="2"/>
        <v>jours</v>
      </c>
      <c r="B93" s="6" t="s">
        <v>151</v>
      </c>
      <c r="C93" s="6" t="s">
        <v>211</v>
      </c>
      <c r="D93" s="507" t="s">
        <v>568</v>
      </c>
    </row>
    <row r="94" spans="1:4" ht="12.75">
      <c r="A94" s="114" t="str">
        <f t="shared" si="2"/>
        <v>Nbre</v>
      </c>
      <c r="B94" s="6" t="s">
        <v>152</v>
      </c>
      <c r="C94" s="6" t="s">
        <v>169</v>
      </c>
      <c r="D94" s="507" t="s">
        <v>554</v>
      </c>
    </row>
    <row r="95" spans="1:4" ht="12.75">
      <c r="A95" s="114" t="str">
        <f t="shared" si="2"/>
        <v>corrigé</v>
      </c>
      <c r="B95" s="6" t="s">
        <v>262</v>
      </c>
      <c r="C95" s="6" t="s">
        <v>19</v>
      </c>
      <c r="D95" s="507" t="s">
        <v>569</v>
      </c>
    </row>
    <row r="96" spans="1:4" ht="12.75">
      <c r="A96" s="114">
        <f t="shared" si="2"/>
        <v>0</v>
      </c>
      <c r="B96" s="6" t="s">
        <v>263</v>
      </c>
      <c r="D96" s="771"/>
    </row>
    <row r="97" spans="1:4" ht="12.75">
      <c r="A97" s="114" t="str">
        <f t="shared" si="2"/>
        <v>Consommation</v>
      </c>
      <c r="B97" s="6" t="s">
        <v>231</v>
      </c>
      <c r="C97" s="6" t="s">
        <v>166</v>
      </c>
      <c r="D97" s="507" t="s">
        <v>570</v>
      </c>
    </row>
    <row r="98" spans="1:4" ht="12.75">
      <c r="A98" s="114" t="str">
        <f t="shared" si="2"/>
        <v>de fourrages</v>
      </c>
      <c r="B98" s="6" t="s">
        <v>230</v>
      </c>
      <c r="C98" s="6" t="s">
        <v>392</v>
      </c>
      <c r="D98" s="507" t="s">
        <v>571</v>
      </c>
    </row>
    <row r="99" spans="1:4" ht="12.75">
      <c r="A99" s="114" t="str">
        <f t="shared" si="2"/>
        <v>par an</v>
      </c>
      <c r="B99" s="6" t="s">
        <v>81</v>
      </c>
      <c r="C99" s="6" t="s">
        <v>170</v>
      </c>
      <c r="D99" s="507" t="s">
        <v>572</v>
      </c>
    </row>
    <row r="100" spans="1:4" ht="12.75">
      <c r="A100" s="114" t="str">
        <f t="shared" si="2"/>
        <v>dt MF</v>
      </c>
      <c r="B100" s="6" t="s">
        <v>130</v>
      </c>
      <c r="C100" s="6" t="s">
        <v>131</v>
      </c>
      <c r="D100" s="507" t="s">
        <v>573</v>
      </c>
    </row>
    <row r="101" spans="1:4" ht="12.75">
      <c r="A101" s="114" t="str">
        <f t="shared" si="2"/>
        <v>total</v>
      </c>
      <c r="B101" s="6" t="s">
        <v>171</v>
      </c>
      <c r="C101" s="6" t="s">
        <v>171</v>
      </c>
      <c r="D101" s="507" t="s">
        <v>574</v>
      </c>
    </row>
    <row r="102" spans="1:4" ht="12.75">
      <c r="A102" s="114" t="str">
        <f t="shared" si="2"/>
        <v>dt MS</v>
      </c>
      <c r="B102" s="6" t="s">
        <v>74</v>
      </c>
      <c r="C102" s="6" t="s">
        <v>172</v>
      </c>
      <c r="D102" s="507" t="s">
        <v>575</v>
      </c>
    </row>
    <row r="103" spans="1:4" ht="12.75">
      <c r="A103" s="114" t="str">
        <f t="shared" si="2"/>
        <v>Consommation</v>
      </c>
      <c r="B103" s="6" t="s">
        <v>1219</v>
      </c>
      <c r="C103" s="6" t="s">
        <v>166</v>
      </c>
      <c r="D103" s="507" t="s">
        <v>576</v>
      </c>
    </row>
    <row r="104" spans="1:4" ht="12.75">
      <c r="A104" s="114" t="str">
        <f t="shared" si="2"/>
        <v>de concentrés</v>
      </c>
      <c r="B104" s="6" t="s">
        <v>230</v>
      </c>
      <c r="C104" s="6" t="s">
        <v>393</v>
      </c>
      <c r="D104" s="507" t="s">
        <v>778</v>
      </c>
    </row>
    <row r="105" spans="1:4" ht="12.75">
      <c r="A105" s="114" t="str">
        <f t="shared" si="2"/>
        <v>par unité</v>
      </c>
      <c r="B105" s="6" t="s">
        <v>49</v>
      </c>
      <c r="C105" s="6" t="s">
        <v>168</v>
      </c>
      <c r="D105" s="507" t="s">
        <v>577</v>
      </c>
    </row>
    <row r="106" spans="1:4" ht="12.75">
      <c r="A106" s="114" t="str">
        <f t="shared" si="2"/>
        <v>kg MF</v>
      </c>
      <c r="B106" s="6" t="s">
        <v>1200</v>
      </c>
      <c r="C106" s="114" t="s">
        <v>394</v>
      </c>
      <c r="D106" s="507" t="s">
        <v>578</v>
      </c>
    </row>
    <row r="107" spans="1:4" ht="12.75">
      <c r="A107" s="114" t="str">
        <f t="shared" si="2"/>
        <v>dt</v>
      </c>
      <c r="B107" s="6" t="s">
        <v>342</v>
      </c>
      <c r="C107" s="6" t="s">
        <v>342</v>
      </c>
      <c r="D107" s="507" t="s">
        <v>579</v>
      </c>
    </row>
    <row r="108" spans="1:4" ht="12.75">
      <c r="A108" s="114" t="str">
        <f t="shared" si="2"/>
        <v>Estivage</v>
      </c>
      <c r="B108" s="6" t="s">
        <v>1252</v>
      </c>
      <c r="C108" s="550" t="s">
        <v>1253</v>
      </c>
      <c r="D108" s="770" t="s">
        <v>1254</v>
      </c>
    </row>
    <row r="109" spans="1:4" ht="12.75">
      <c r="A109" s="114" t="str">
        <f t="shared" si="2"/>
        <v>Nbre</v>
      </c>
      <c r="B109" s="6" t="s">
        <v>152</v>
      </c>
      <c r="C109" s="550" t="s">
        <v>169</v>
      </c>
      <c r="D109" s="641" t="s">
        <v>554</v>
      </c>
    </row>
    <row r="110" spans="1:4" ht="12.75">
      <c r="A110" s="114" t="str">
        <f t="shared" si="2"/>
        <v>bêtes</v>
      </c>
      <c r="B110" s="6" t="s">
        <v>1249</v>
      </c>
      <c r="C110" s="550" t="s">
        <v>1250</v>
      </c>
      <c r="D110" s="641" t="s">
        <v>1251</v>
      </c>
    </row>
    <row r="111" spans="1:4" ht="12.75">
      <c r="A111" s="114" t="str">
        <f t="shared" si="2"/>
        <v>Nbre</v>
      </c>
      <c r="B111" s="6" t="s">
        <v>152</v>
      </c>
      <c r="C111" s="550" t="s">
        <v>169</v>
      </c>
      <c r="D111" s="641" t="s">
        <v>554</v>
      </c>
    </row>
    <row r="112" spans="1:4" ht="12.75">
      <c r="A112" s="114" t="str">
        <f t="shared" si="2"/>
        <v>jours</v>
      </c>
      <c r="B112" s="6" t="s">
        <v>151</v>
      </c>
      <c r="C112" s="550" t="s">
        <v>211</v>
      </c>
      <c r="D112" s="641" t="s">
        <v>568</v>
      </c>
    </row>
    <row r="113" spans="1:4" ht="12.75">
      <c r="A113" s="114" t="str">
        <f>IF($A$2=1,B113,IF($A$2=2,C113,IF($A$2=3,D113,"")))</f>
        <v>jours d'estivage</v>
      </c>
      <c r="B113" s="114" t="s">
        <v>1261</v>
      </c>
      <c r="C113" s="674" t="s">
        <v>1262</v>
      </c>
      <c r="D113" s="114" t="s">
        <v>833</v>
      </c>
    </row>
    <row r="114" spans="1:4" ht="12.75">
      <c r="A114" s="114" t="str">
        <f>IF($A$2=1,B114,IF($A$2=2,C114,IF($A$2=3,D114,"")))</f>
        <v>total</v>
      </c>
      <c r="B114" s="114" t="s">
        <v>1263</v>
      </c>
      <c r="C114" s="674" t="s">
        <v>171</v>
      </c>
      <c r="D114" s="641" t="s">
        <v>834</v>
      </c>
    </row>
    <row r="115" spans="1:4" ht="12.75">
      <c r="A115" s="114" t="str">
        <f t="shared" si="2"/>
        <v>c. de fourrages</v>
      </c>
      <c r="B115" s="6" t="s">
        <v>1264</v>
      </c>
      <c r="C115" s="550" t="s">
        <v>1265</v>
      </c>
      <c r="D115" s="770" t="s">
        <v>1266</v>
      </c>
    </row>
    <row r="116" spans="1:4" ht="12.75">
      <c r="A116" s="114" t="str">
        <f t="shared" si="2"/>
        <v>concentrés</v>
      </c>
      <c r="B116" s="6" t="s">
        <v>165</v>
      </c>
      <c r="C116" s="550" t="s">
        <v>1267</v>
      </c>
      <c r="D116" s="770" t="s">
        <v>778</v>
      </c>
    </row>
    <row r="117" spans="1:4" ht="12.75">
      <c r="A117" s="114" t="str">
        <f>IF($A$2=1,B117,IF($A$2=2,C117,IF($A$2=3,D117,"")))</f>
        <v>dt MS total</v>
      </c>
      <c r="B117" s="114" t="s">
        <v>1258</v>
      </c>
      <c r="C117" s="550" t="s">
        <v>1259</v>
      </c>
      <c r="D117" s="721" t="s">
        <v>1260</v>
      </c>
    </row>
    <row r="118" spans="1:4" ht="12.75">
      <c r="A118" s="114" t="str">
        <f>IF($A$2=1,B118,IF($A$2=2,C118,IF($A$2=3,D118,"")))</f>
        <v>dt MF total</v>
      </c>
      <c r="B118" s="114" t="s">
        <v>1255</v>
      </c>
      <c r="C118" s="594" t="s">
        <v>1256</v>
      </c>
      <c r="D118" s="721" t="s">
        <v>1257</v>
      </c>
    </row>
    <row r="119" spans="1:5" ht="12.75">
      <c r="A119" s="114" t="str">
        <f t="shared" si="2"/>
        <v>Animaux consommant des fourrages grossiers avec consomm. de concentrés</v>
      </c>
      <c r="B119" s="6" t="s">
        <v>302</v>
      </c>
      <c r="C119" s="6" t="s">
        <v>395</v>
      </c>
      <c r="D119" s="507" t="s">
        <v>580</v>
      </c>
      <c r="E119" s="507"/>
    </row>
    <row r="120" spans="1:4" ht="12.75">
      <c r="A120" s="114" t="str">
        <f aca="true" t="shared" si="3" ref="A120:A152">IF($A$2=1,B120,IF($A$2=2,C120,IF($A$2=3,D120,"")))</f>
        <v>Bovins</v>
      </c>
      <c r="B120" s="6" t="s">
        <v>350</v>
      </c>
      <c r="C120" s="6" t="s">
        <v>396</v>
      </c>
      <c r="D120" s="507" t="s">
        <v>581</v>
      </c>
    </row>
    <row r="121" spans="1:4" ht="12.75">
      <c r="A121" s="114" t="str">
        <f t="shared" si="3"/>
        <v>Prod. lait Ø kg/an</v>
      </c>
      <c r="B121" s="570" t="s">
        <v>985</v>
      </c>
      <c r="C121" s="570" t="s">
        <v>986</v>
      </c>
      <c r="D121" s="570" t="s">
        <v>987</v>
      </c>
    </row>
    <row r="122" spans="1:4" ht="12.75">
      <c r="A122" s="114" t="str">
        <f t="shared" si="3"/>
        <v>Vache laitière</v>
      </c>
      <c r="B122" s="6" t="s">
        <v>265</v>
      </c>
      <c r="C122" s="488" t="s">
        <v>397</v>
      </c>
      <c r="D122" s="507" t="s">
        <v>582</v>
      </c>
    </row>
    <row r="123" spans="1:4" ht="12.75">
      <c r="A123" s="114" t="str">
        <f t="shared" si="3"/>
        <v>Autre vache</v>
      </c>
      <c r="B123" s="6" t="s">
        <v>1215</v>
      </c>
      <c r="C123" s="6" t="s">
        <v>398</v>
      </c>
      <c r="D123" s="507" t="s">
        <v>583</v>
      </c>
    </row>
    <row r="124" spans="1:4" ht="12.75">
      <c r="A124" s="114" t="str">
        <f t="shared" si="3"/>
        <v>Vache mère lourde (PV 700-800 kg), sans veau</v>
      </c>
      <c r="B124" s="6" t="s">
        <v>918</v>
      </c>
      <c r="C124" s="6" t="s">
        <v>921</v>
      </c>
      <c r="D124" s="507" t="s">
        <v>922</v>
      </c>
    </row>
    <row r="125" spans="1:4" ht="12.75">
      <c r="A125" s="114" t="str">
        <f>IF($A$2=1,B125,IF($A$2=2,C125,IF($A$2=3,D126,"")))</f>
        <v>Vache mère moyenne (PV 600-700 kg), sans veau</v>
      </c>
      <c r="B125" s="6" t="s">
        <v>917</v>
      </c>
      <c r="C125" s="6" t="s">
        <v>920</v>
      </c>
      <c r="D125" s="566" t="s">
        <v>924</v>
      </c>
    </row>
    <row r="126" spans="1:4" ht="12.75">
      <c r="A126" s="114" t="str">
        <f>IF($A$2=1,B126,IF($A$2=2,C126,IF($A$2=3,D127,"")))</f>
        <v>Vache mère légère (PV &lt;600 kg), sans veau</v>
      </c>
      <c r="B126" s="6" t="s">
        <v>916</v>
      </c>
      <c r="C126" s="6" t="s">
        <v>919</v>
      </c>
      <c r="D126" s="507" t="s">
        <v>923</v>
      </c>
    </row>
    <row r="127" spans="1:4" ht="12.75">
      <c r="A127" s="114" t="str">
        <f t="shared" si="3"/>
        <v>Vache nourrice, 2 veaux par an, sans veau</v>
      </c>
      <c r="B127" s="6" t="s">
        <v>469</v>
      </c>
      <c r="C127" s="6" t="s">
        <v>346</v>
      </c>
      <c r="D127" s="507" t="s">
        <v>584</v>
      </c>
    </row>
    <row r="128" spans="1:4" ht="12.75">
      <c r="A128" s="114" t="str">
        <f t="shared" si="3"/>
        <v>Bovin d'élevage, moins de 1 an</v>
      </c>
      <c r="B128" s="6" t="s">
        <v>75</v>
      </c>
      <c r="C128" s="6" t="s">
        <v>399</v>
      </c>
      <c r="D128" s="507" t="s">
        <v>585</v>
      </c>
    </row>
    <row r="129" spans="1:4" ht="12.75">
      <c r="A129" s="114" t="str">
        <f t="shared" si="3"/>
        <v>Bovin d'élevage, 1 à 2 ans</v>
      </c>
      <c r="B129" s="6" t="s">
        <v>76</v>
      </c>
      <c r="C129" s="6" t="s">
        <v>400</v>
      </c>
      <c r="D129" s="507" t="s">
        <v>586</v>
      </c>
    </row>
    <row r="130" spans="1:4" ht="12.75">
      <c r="A130" s="114" t="str">
        <f t="shared" si="3"/>
        <v>Génisse, plus de 2 ans</v>
      </c>
      <c r="B130" s="6" t="s">
        <v>77</v>
      </c>
      <c r="C130" s="6" t="s">
        <v>401</v>
      </c>
      <c r="D130" s="507" t="s">
        <v>587</v>
      </c>
    </row>
    <row r="131" spans="1:4" ht="12.75">
      <c r="A131" s="114" t="str">
        <f t="shared" si="3"/>
        <v>Veau à l'engrais, 50-200 kg</v>
      </c>
      <c r="B131" s="6" t="s">
        <v>241</v>
      </c>
      <c r="C131" s="6" t="s">
        <v>402</v>
      </c>
      <c r="D131" s="507" t="s">
        <v>588</v>
      </c>
    </row>
    <row r="132" spans="1:4" ht="12.75">
      <c r="A132" s="114" t="str">
        <f t="shared" si="3"/>
        <v>Veau allaité jusqu'à env. 350 kg PV</v>
      </c>
      <c r="B132" s="6" t="s">
        <v>174</v>
      </c>
      <c r="C132" s="6" t="s">
        <v>403</v>
      </c>
      <c r="D132" s="507" t="s">
        <v>589</v>
      </c>
    </row>
    <row r="133" spans="1:4" ht="12.75">
      <c r="A133" s="114" t="str">
        <f t="shared" si="3"/>
        <v>Veau allaité jusqu'à env. 400 kg PV</v>
      </c>
      <c r="B133" s="6" t="s">
        <v>175</v>
      </c>
      <c r="C133" s="6" t="s">
        <v>404</v>
      </c>
      <c r="D133" s="507" t="s">
        <v>590</v>
      </c>
    </row>
    <row r="134" spans="1:4" ht="12.75">
      <c r="A134" s="114" t="str">
        <f t="shared" si="3"/>
        <v>Bovin à l'engrais, intensif, 65-520 kg</v>
      </c>
      <c r="B134" s="6" t="s">
        <v>191</v>
      </c>
      <c r="C134" s="6" t="s">
        <v>405</v>
      </c>
      <c r="D134" s="507" t="s">
        <v>591</v>
      </c>
    </row>
    <row r="135" spans="1:4" ht="12.75">
      <c r="A135" s="114" t="str">
        <f t="shared" si="3"/>
        <v>Bovin à l'engrais, sevrage, &lt; 4 mois</v>
      </c>
      <c r="B135" s="6" t="s">
        <v>78</v>
      </c>
      <c r="C135" s="6" t="s">
        <v>406</v>
      </c>
      <c r="D135" s="507" t="s">
        <v>592</v>
      </c>
    </row>
    <row r="136" spans="1:4" ht="12.75">
      <c r="A136" s="114" t="str">
        <f t="shared" si="3"/>
        <v>Bovin à l'engrais, intensif, &gt; 4 mois</v>
      </c>
      <c r="B136" s="6" t="s">
        <v>242</v>
      </c>
      <c r="C136" s="6" t="s">
        <v>407</v>
      </c>
      <c r="D136" s="507" t="s">
        <v>593</v>
      </c>
    </row>
    <row r="137" spans="1:4" ht="12.75">
      <c r="A137" s="114" t="str">
        <f t="shared" si="3"/>
        <v>Bovin à l'engrais, pâturage, &gt; 4 mois</v>
      </c>
      <c r="B137" s="6" t="s">
        <v>79</v>
      </c>
      <c r="C137" s="6" t="s">
        <v>408</v>
      </c>
      <c r="D137" s="507" t="s">
        <v>597</v>
      </c>
    </row>
    <row r="138" spans="1:4" ht="12.75">
      <c r="A138" s="114" t="str">
        <f t="shared" si="3"/>
        <v>Bovin à l'engrais finition (intensive)</v>
      </c>
      <c r="B138" s="6" t="s">
        <v>176</v>
      </c>
      <c r="C138" s="6" t="s">
        <v>108</v>
      </c>
      <c r="D138" s="507" t="s">
        <v>598</v>
      </c>
    </row>
    <row r="139" spans="1:4" ht="12.75">
      <c r="A139" s="114" t="str">
        <f t="shared" si="3"/>
        <v>Taureau d'élevage</v>
      </c>
      <c r="B139" s="6" t="s">
        <v>177</v>
      </c>
      <c r="C139" s="6" t="s">
        <v>109</v>
      </c>
      <c r="D139" s="507" t="s">
        <v>599</v>
      </c>
    </row>
    <row r="140" spans="1:4" ht="12.75">
      <c r="A140" s="114" t="str">
        <f t="shared" si="3"/>
        <v>Animaux consommant des fourrages grossiers sans consomm. de concentrés</v>
      </c>
      <c r="B140" s="6" t="s">
        <v>303</v>
      </c>
      <c r="C140" s="488" t="s">
        <v>409</v>
      </c>
      <c r="D140" s="507" t="s">
        <v>600</v>
      </c>
    </row>
    <row r="141" spans="1:4" ht="12.75">
      <c r="A141" s="114" t="str">
        <f t="shared" si="3"/>
        <v>Autres animaux consommant des fourrages grossiers</v>
      </c>
      <c r="B141" s="6" t="s">
        <v>349</v>
      </c>
      <c r="C141" s="6" t="s">
        <v>410</v>
      </c>
      <c r="D141" s="507" t="s">
        <v>601</v>
      </c>
    </row>
    <row r="142" spans="1:4" ht="12.75">
      <c r="A142" s="114" t="str">
        <f t="shared" si="3"/>
        <v>Jument avec poulain</v>
      </c>
      <c r="B142" s="6" t="s">
        <v>244</v>
      </c>
      <c r="C142" s="6" t="s">
        <v>110</v>
      </c>
      <c r="D142" s="507" t="s">
        <v>602</v>
      </c>
    </row>
    <row r="143" spans="1:4" ht="12.75">
      <c r="A143" s="114" t="str">
        <f t="shared" si="3"/>
        <v>Jument avec poulain, concentré avoine (max. 700 kg)</v>
      </c>
      <c r="B143" s="6" t="s">
        <v>178</v>
      </c>
      <c r="C143" s="6" t="s">
        <v>411</v>
      </c>
      <c r="D143" s="507" t="s">
        <v>603</v>
      </c>
    </row>
    <row r="144" spans="1:4" ht="12.75">
      <c r="A144" s="114" t="str">
        <f t="shared" si="3"/>
        <v>Autre cheval de plus de 3 ans, PV 550 kg</v>
      </c>
      <c r="B144" s="6" t="s">
        <v>243</v>
      </c>
      <c r="C144" s="6" t="s">
        <v>412</v>
      </c>
      <c r="D144" s="507" t="s">
        <v>604</v>
      </c>
    </row>
    <row r="145" spans="1:4" ht="12.75">
      <c r="A145" s="114" t="str">
        <f t="shared" si="3"/>
        <v>Poulains, 0.5 à 3 ans</v>
      </c>
      <c r="B145" s="6" t="s">
        <v>245</v>
      </c>
      <c r="C145" s="6" t="s">
        <v>246</v>
      </c>
      <c r="D145" s="507" t="s">
        <v>605</v>
      </c>
    </row>
    <row r="146" spans="1:4" ht="12.75">
      <c r="A146" s="114" t="str">
        <f t="shared" si="3"/>
        <v>Mulet et bardot, de tout âge</v>
      </c>
      <c r="B146" s="6" t="s">
        <v>179</v>
      </c>
      <c r="C146" s="6" t="s">
        <v>413</v>
      </c>
      <c r="D146" s="507" t="s">
        <v>606</v>
      </c>
    </row>
    <row r="147" spans="1:4" ht="12.75">
      <c r="A147" s="114" t="str">
        <f t="shared" si="3"/>
        <v>Poney, petit cheval, âne de tout âge</v>
      </c>
      <c r="B147" s="6" t="s">
        <v>247</v>
      </c>
      <c r="C147" s="6" t="s">
        <v>414</v>
      </c>
      <c r="D147" s="507" t="s">
        <v>607</v>
      </c>
    </row>
    <row r="148" spans="1:4" ht="12.75">
      <c r="A148" s="114" t="str">
        <f t="shared" si="3"/>
        <v>Chèvre y c. cabris et part de bouc</v>
      </c>
      <c r="B148" s="6" t="s">
        <v>180</v>
      </c>
      <c r="C148" s="6" t="s">
        <v>415</v>
      </c>
      <c r="D148" s="507" t="s">
        <v>769</v>
      </c>
    </row>
    <row r="149" spans="1:4" ht="12.75">
      <c r="A149" s="114" t="str">
        <f t="shared" si="3"/>
        <v>Mouton y c. agneau et part de bélier</v>
      </c>
      <c r="B149" s="6" t="s">
        <v>181</v>
      </c>
      <c r="C149" s="6" t="s">
        <v>416</v>
      </c>
      <c r="D149" s="507" t="s">
        <v>770</v>
      </c>
    </row>
    <row r="150" spans="1:4" ht="12.75">
      <c r="A150" s="114" t="str">
        <f t="shared" si="3"/>
        <v>Brebis laitière, y c. agneaux et part de bélier</v>
      </c>
      <c r="B150" s="6" t="s">
        <v>80</v>
      </c>
      <c r="C150" s="6" t="s">
        <v>112</v>
      </c>
      <c r="D150" s="507" t="s">
        <v>771</v>
      </c>
    </row>
    <row r="151" spans="1:4" ht="12.75">
      <c r="A151" s="114" t="str">
        <f t="shared" si="3"/>
        <v>Agneau engraissé au pâturage</v>
      </c>
      <c r="B151" s="6" t="s">
        <v>232</v>
      </c>
      <c r="C151" s="6" t="s">
        <v>111</v>
      </c>
      <c r="D151" s="507" t="s">
        <v>608</v>
      </c>
    </row>
    <row r="152" spans="1:4" ht="12.75">
      <c r="A152" s="114" t="str">
        <f t="shared" si="3"/>
        <v>Daim, y c. petits, 1u.=2 animaux</v>
      </c>
      <c r="B152" s="6" t="s">
        <v>184</v>
      </c>
      <c r="C152" s="114" t="s">
        <v>470</v>
      </c>
      <c r="D152" s="507" t="s">
        <v>609</v>
      </c>
    </row>
    <row r="153" spans="1:4" ht="12.75">
      <c r="A153" s="114" t="str">
        <f aca="true" t="shared" si="4" ref="A153:A190">IF($A$2=1,B153,IF($A$2=2,C153,IF($A$2=3,D153,"")))</f>
        <v>Cerf,  y c. petits, 1u.=2 animaux</v>
      </c>
      <c r="B153" s="6" t="s">
        <v>182</v>
      </c>
      <c r="C153" s="114" t="s">
        <v>471</v>
      </c>
      <c r="D153" s="507" t="s">
        <v>619</v>
      </c>
    </row>
    <row r="154" spans="1:4" ht="12.75">
      <c r="A154" s="114" t="str">
        <f t="shared" si="4"/>
        <v>Wapiti, y c. petits, 1u.=2 animaux</v>
      </c>
      <c r="B154" s="6" t="s">
        <v>183</v>
      </c>
      <c r="C154" s="114" t="s">
        <v>473</v>
      </c>
      <c r="D154" s="507" t="s">
        <v>620</v>
      </c>
    </row>
    <row r="155" spans="1:4" ht="12.75">
      <c r="A155" s="114" t="str">
        <f t="shared" si="4"/>
        <v>Bison plus de 3 ans</v>
      </c>
      <c r="B155" s="6" t="s">
        <v>248</v>
      </c>
      <c r="C155" s="6" t="s">
        <v>255</v>
      </c>
      <c r="D155" s="507" t="s">
        <v>621</v>
      </c>
    </row>
    <row r="156" spans="1:4" ht="12.75">
      <c r="A156" s="114" t="str">
        <f t="shared" si="4"/>
        <v>Bison moins de 3 ans</v>
      </c>
      <c r="B156" s="6" t="s">
        <v>249</v>
      </c>
      <c r="C156" s="6" t="s">
        <v>256</v>
      </c>
      <c r="D156" s="507" t="s">
        <v>622</v>
      </c>
    </row>
    <row r="157" spans="1:4" ht="12.75">
      <c r="A157" s="114" t="str">
        <f t="shared" si="4"/>
        <v>Lama plus de 2 ans</v>
      </c>
      <c r="B157" s="6" t="s">
        <v>250</v>
      </c>
      <c r="C157" s="6" t="s">
        <v>257</v>
      </c>
      <c r="D157" s="507" t="s">
        <v>623</v>
      </c>
    </row>
    <row r="158" spans="1:4" ht="12.75">
      <c r="A158" s="114" t="str">
        <f t="shared" si="4"/>
        <v>Lama moins de 2 ans</v>
      </c>
      <c r="B158" s="6" t="s">
        <v>251</v>
      </c>
      <c r="C158" s="6" t="s">
        <v>258</v>
      </c>
      <c r="D158" s="507" t="s">
        <v>624</v>
      </c>
    </row>
    <row r="159" spans="1:4" ht="12.75">
      <c r="A159" s="114" t="str">
        <f t="shared" si="4"/>
        <v>Alpaga plus de 2 ans</v>
      </c>
      <c r="B159" s="6" t="s">
        <v>252</v>
      </c>
      <c r="C159" s="6" t="s">
        <v>259</v>
      </c>
      <c r="D159" s="507" t="s">
        <v>625</v>
      </c>
    </row>
    <row r="160" spans="1:4" ht="12.75">
      <c r="A160" s="114" t="str">
        <f t="shared" si="4"/>
        <v>Alpaga moins de 2 ans</v>
      </c>
      <c r="B160" s="6" t="s">
        <v>253</v>
      </c>
      <c r="C160" s="6" t="s">
        <v>113</v>
      </c>
      <c r="D160" s="507" t="s">
        <v>626</v>
      </c>
    </row>
    <row r="161" spans="1:4" ht="12.75">
      <c r="A161" s="114" t="str">
        <f t="shared" si="4"/>
        <v>Autres animaux consommant des fourrages de base</v>
      </c>
      <c r="B161" s="6" t="s">
        <v>304</v>
      </c>
      <c r="C161" s="6" t="s">
        <v>427</v>
      </c>
      <c r="D161" s="507" t="s">
        <v>627</v>
      </c>
    </row>
    <row r="162" spans="1:4" ht="12.75">
      <c r="A162" s="114" t="str">
        <f>IF($A$2=1,B162,IF($A$2=2,C162,IF($A$2=3,#REF!,"")))</f>
        <v>Herbe issue des</v>
      </c>
      <c r="B162" s="6" t="s">
        <v>912</v>
      </c>
      <c r="C162" s="6" t="s">
        <v>977</v>
      </c>
      <c r="D162" s="507" t="s">
        <v>789</v>
      </c>
    </row>
    <row r="163" spans="1:4" ht="12.75">
      <c r="A163" s="114" t="str">
        <f>IF($A$2=1,B163,IF($A$2=2,C163,IF($A$2=3,#REF!,"")))</f>
        <v>prairies/pâtur.</v>
      </c>
      <c r="B163" s="6" t="s">
        <v>913</v>
      </c>
      <c r="C163" s="6" t="s">
        <v>345</v>
      </c>
      <c r="D163" s="507" t="s">
        <v>790</v>
      </c>
    </row>
    <row r="164" spans="1:4" ht="12.75">
      <c r="A164" s="114" t="str">
        <f t="shared" si="4"/>
        <v>Lapine mère (y c. petits jusqu'à env. 35 jours)</v>
      </c>
      <c r="B164" s="6" t="s">
        <v>474</v>
      </c>
      <c r="C164" s="6" t="s">
        <v>119</v>
      </c>
      <c r="D164" s="507" t="s">
        <v>779</v>
      </c>
    </row>
    <row r="165" spans="1:4" ht="12.75">
      <c r="A165" s="114" t="str">
        <f t="shared" si="4"/>
        <v>Petits lapins dès env.35 jours</v>
      </c>
      <c r="B165" s="6" t="s">
        <v>475</v>
      </c>
      <c r="C165" s="114" t="s">
        <v>476</v>
      </c>
      <c r="D165" s="507" t="s">
        <v>780</v>
      </c>
    </row>
    <row r="166" spans="1:4" ht="12.75">
      <c r="A166" s="114" t="str">
        <f t="shared" si="4"/>
        <v>Autruche plus de 13 mois</v>
      </c>
      <c r="B166" s="6" t="s">
        <v>1220</v>
      </c>
      <c r="C166" s="6" t="s">
        <v>93</v>
      </c>
      <c r="D166" s="507" t="s">
        <v>628</v>
      </c>
    </row>
    <row r="167" spans="1:4" ht="12.75">
      <c r="A167" s="114" t="str">
        <f t="shared" si="4"/>
        <v>Autruche jusqu'à 13 mois</v>
      </c>
      <c r="B167" s="6" t="s">
        <v>1221</v>
      </c>
      <c r="C167" s="6" t="s">
        <v>94</v>
      </c>
      <c r="D167" s="507" t="s">
        <v>637</v>
      </c>
    </row>
    <row r="168" spans="1:4" ht="12.75">
      <c r="A168" s="114" t="str">
        <f t="shared" si="4"/>
        <v>Porc à l'engrais/remonte (PPE) de 25-100 kg</v>
      </c>
      <c r="B168" s="6" t="s">
        <v>305</v>
      </c>
      <c r="C168" s="6" t="s">
        <v>306</v>
      </c>
      <c r="D168" s="507" t="s">
        <v>638</v>
      </c>
    </row>
    <row r="169" spans="1:4" ht="12.75">
      <c r="A169" s="114" t="str">
        <f t="shared" si="4"/>
        <v>Porc à l'engrais/remonte de 25-100 kg</v>
      </c>
      <c r="B169" s="6" t="s">
        <v>190</v>
      </c>
      <c r="C169" s="6" t="s">
        <v>185</v>
      </c>
      <c r="D169" s="507" t="s">
        <v>639</v>
      </c>
    </row>
    <row r="170" spans="1:4" ht="12.75">
      <c r="A170" s="114" t="str">
        <f t="shared" si="4"/>
        <v>Truie d'élevage, porcelets inclus 25-30 kg</v>
      </c>
      <c r="B170" s="6" t="s">
        <v>189</v>
      </c>
      <c r="C170" s="6" t="s">
        <v>309</v>
      </c>
      <c r="D170" s="507" t="s">
        <v>640</v>
      </c>
    </row>
    <row r="171" spans="1:4" ht="12.75">
      <c r="A171" s="114" t="str">
        <f t="shared" si="4"/>
        <v>Truie non allaitante</v>
      </c>
      <c r="B171" s="6" t="s">
        <v>307</v>
      </c>
      <c r="C171" s="6" t="s">
        <v>114</v>
      </c>
      <c r="D171" s="507" t="s">
        <v>641</v>
      </c>
    </row>
    <row r="172" spans="1:4" ht="12.75">
      <c r="A172" s="114" t="str">
        <f t="shared" si="4"/>
        <v>Truie non allaitante, par rotation</v>
      </c>
      <c r="B172" s="6" t="s">
        <v>186</v>
      </c>
      <c r="C172" s="6" t="s">
        <v>115</v>
      </c>
      <c r="D172" s="507" t="s">
        <v>642</v>
      </c>
    </row>
    <row r="173" spans="1:4" ht="12.75">
      <c r="A173" s="114" t="str">
        <f t="shared" si="4"/>
        <v>Truie allaitante, y c. porcelets</v>
      </c>
      <c r="B173" s="6" t="s">
        <v>213</v>
      </c>
      <c r="C173" s="6" t="s">
        <v>116</v>
      </c>
      <c r="D173" s="507" t="s">
        <v>643</v>
      </c>
    </row>
    <row r="174" spans="1:4" ht="12.75">
      <c r="A174" s="114" t="str">
        <f t="shared" si="4"/>
        <v>Truie allaitante, y c. porcelets, par rotation</v>
      </c>
      <c r="B174" s="6" t="s">
        <v>187</v>
      </c>
      <c r="C174" s="6" t="s">
        <v>117</v>
      </c>
      <c r="D174" s="507" t="s">
        <v>644</v>
      </c>
    </row>
    <row r="175" spans="1:4" ht="12.75">
      <c r="A175" s="114" t="str">
        <f t="shared" si="4"/>
        <v>Verrat</v>
      </c>
      <c r="B175" s="6" t="s">
        <v>212</v>
      </c>
      <c r="C175" s="6" t="s">
        <v>118</v>
      </c>
      <c r="D175" s="507" t="s">
        <v>645</v>
      </c>
    </row>
    <row r="176" spans="1:4" ht="12.75">
      <c r="A176" s="114" t="str">
        <f t="shared" si="4"/>
        <v>Porcelet sevré jusqu'à 25-30 kg</v>
      </c>
      <c r="B176" s="6" t="s">
        <v>188</v>
      </c>
      <c r="C176" s="6" t="s">
        <v>95</v>
      </c>
      <c r="D176" s="507" t="s">
        <v>646</v>
      </c>
    </row>
    <row r="177" spans="1:4" ht="12.75">
      <c r="A177" s="114" t="str">
        <f t="shared" si="4"/>
        <v>Porcelet sevré jusqu'à 25-30 kg</v>
      </c>
      <c r="B177" s="6" t="s">
        <v>188</v>
      </c>
      <c r="C177" s="6" t="s">
        <v>95</v>
      </c>
      <c r="D177" s="507" t="s">
        <v>646</v>
      </c>
    </row>
    <row r="178" spans="1:4" ht="12.75">
      <c r="A178" s="114" t="str">
        <f t="shared" si="4"/>
        <v>Preuve nécessaire!</v>
      </c>
      <c r="B178" s="6" t="s">
        <v>1216</v>
      </c>
      <c r="C178" s="6" t="s">
        <v>417</v>
      </c>
      <c r="D178" s="507" t="s">
        <v>647</v>
      </c>
    </row>
    <row r="179" spans="1:4" ht="12.75">
      <c r="A179" s="114" t="str">
        <f t="shared" si="4"/>
        <v>Consommation de FG trop haute!</v>
      </c>
      <c r="B179" s="6" t="s">
        <v>308</v>
      </c>
      <c r="C179" s="550" t="s">
        <v>418</v>
      </c>
      <c r="D179" s="507" t="s">
        <v>648</v>
      </c>
    </row>
    <row r="180" spans="1:4" ht="12.75">
      <c r="A180" s="114" t="str">
        <f t="shared" si="4"/>
        <v>Total Herbe issue des prairies/pâturages &gt; Consommation de fourrages</v>
      </c>
      <c r="B180" s="6" t="s">
        <v>1060</v>
      </c>
      <c r="C180" s="550" t="s">
        <v>1061</v>
      </c>
      <c r="D180" s="770" t="s">
        <v>791</v>
      </c>
    </row>
    <row r="181" spans="1:4" ht="12.75">
      <c r="A181" s="114" t="str">
        <f t="shared" si="4"/>
        <v>Exploitation à l'année</v>
      </c>
      <c r="B181" s="6" t="s">
        <v>1274</v>
      </c>
      <c r="C181" s="550" t="s">
        <v>1275</v>
      </c>
      <c r="D181" s="772" t="s">
        <v>677</v>
      </c>
    </row>
    <row r="182" spans="1:256" s="114" customFormat="1" ht="12.75">
      <c r="A182" s="114" t="str">
        <f t="shared" si="4"/>
        <v>A1: Consommation de fourrage de base par tous les animaux </v>
      </c>
      <c r="B182" s="6" t="s">
        <v>1203</v>
      </c>
      <c r="C182" s="672" t="s">
        <v>429</v>
      </c>
      <c r="D182" s="507" t="s">
        <v>792</v>
      </c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  <c r="DK182" s="116"/>
      <c r="DL182" s="116"/>
      <c r="DM182" s="116"/>
      <c r="DN182" s="116"/>
      <c r="DO182" s="116"/>
      <c r="DP182" s="116"/>
      <c r="DQ182" s="116"/>
      <c r="DR182" s="116"/>
      <c r="DS182" s="116"/>
      <c r="DT182" s="116"/>
      <c r="DU182" s="116"/>
      <c r="DV182" s="116"/>
      <c r="DW182" s="116"/>
      <c r="DX182" s="116"/>
      <c r="DY182" s="116"/>
      <c r="DZ182" s="116"/>
      <c r="EA182" s="116"/>
      <c r="EB182" s="116"/>
      <c r="EC182" s="116"/>
      <c r="ED182" s="116"/>
      <c r="EE182" s="116"/>
      <c r="EF182" s="116"/>
      <c r="EG182" s="116"/>
      <c r="EH182" s="116"/>
      <c r="EI182" s="116"/>
      <c r="EJ182" s="116"/>
      <c r="EK182" s="116"/>
      <c r="EL182" s="116"/>
      <c r="EM182" s="116"/>
      <c r="EN182" s="116"/>
      <c r="EO182" s="116"/>
      <c r="EP182" s="116"/>
      <c r="EQ182" s="116"/>
      <c r="ER182" s="116"/>
      <c r="ES182" s="116"/>
      <c r="ET182" s="116"/>
      <c r="EU182" s="116"/>
      <c r="EV182" s="116"/>
      <c r="EW182" s="116"/>
      <c r="EX182" s="116"/>
      <c r="EY182" s="116"/>
      <c r="EZ182" s="116"/>
      <c r="FA182" s="116"/>
      <c r="FB182" s="116"/>
      <c r="FC182" s="116"/>
      <c r="FD182" s="116"/>
      <c r="FE182" s="116"/>
      <c r="FF182" s="116"/>
      <c r="FG182" s="116"/>
      <c r="FH182" s="116"/>
      <c r="FI182" s="116"/>
      <c r="FJ182" s="116"/>
      <c r="FK182" s="116"/>
      <c r="FL182" s="116"/>
      <c r="FM182" s="116"/>
      <c r="FN182" s="116"/>
      <c r="FO182" s="116"/>
      <c r="FP182" s="116"/>
      <c r="FQ182" s="116"/>
      <c r="FR182" s="116"/>
      <c r="FS182" s="116"/>
      <c r="FT182" s="116"/>
      <c r="FU182" s="116"/>
      <c r="FV182" s="116"/>
      <c r="FW182" s="116"/>
      <c r="FX182" s="116"/>
      <c r="FY182" s="116"/>
      <c r="FZ182" s="116"/>
      <c r="GA182" s="116"/>
      <c r="GB182" s="116"/>
      <c r="GC182" s="116"/>
      <c r="GD182" s="116"/>
      <c r="GE182" s="116"/>
      <c r="GF182" s="116"/>
      <c r="GG182" s="116"/>
      <c r="GH182" s="116"/>
      <c r="GI182" s="116"/>
      <c r="GJ182" s="116"/>
      <c r="GK182" s="116"/>
      <c r="GL182" s="116"/>
      <c r="GM182" s="116"/>
      <c r="GN182" s="116"/>
      <c r="GO182" s="116"/>
      <c r="GP182" s="116"/>
      <c r="GQ182" s="116"/>
      <c r="GR182" s="116"/>
      <c r="GS182" s="116"/>
      <c r="GT182" s="116"/>
      <c r="GU182" s="116"/>
      <c r="GV182" s="116"/>
      <c r="GW182" s="116"/>
      <c r="GX182" s="116"/>
      <c r="GY182" s="116"/>
      <c r="GZ182" s="116"/>
      <c r="HA182" s="116"/>
      <c r="HB182" s="116"/>
      <c r="HC182" s="116"/>
      <c r="HD182" s="116"/>
      <c r="HE182" s="116"/>
      <c r="HF182" s="116"/>
      <c r="HG182" s="116"/>
      <c r="HH182" s="116"/>
      <c r="HI182" s="116"/>
      <c r="HJ182" s="116"/>
      <c r="HK182" s="116"/>
      <c r="HL182" s="116"/>
      <c r="HM182" s="116"/>
      <c r="HN182" s="116"/>
      <c r="HO182" s="116"/>
      <c r="HP182" s="116"/>
      <c r="HQ182" s="116"/>
      <c r="HR182" s="116"/>
      <c r="HS182" s="116"/>
      <c r="HT182" s="116"/>
      <c r="HU182" s="116"/>
      <c r="HV182" s="116"/>
      <c r="HW182" s="116"/>
      <c r="HX182" s="116"/>
      <c r="HY182" s="116"/>
      <c r="HZ182" s="116"/>
      <c r="IA182" s="116"/>
      <c r="IB182" s="116"/>
      <c r="IC182" s="116"/>
      <c r="ID182" s="116"/>
      <c r="IE182" s="116"/>
      <c r="IF182" s="116"/>
      <c r="IG182" s="116"/>
      <c r="IH182" s="116"/>
      <c r="II182" s="116"/>
      <c r="IJ182" s="116"/>
      <c r="IK182" s="116"/>
      <c r="IL182" s="116"/>
      <c r="IM182" s="116"/>
      <c r="IN182" s="116"/>
      <c r="IO182" s="116"/>
      <c r="IP182" s="116"/>
      <c r="IQ182" s="116"/>
      <c r="IR182" s="116"/>
      <c r="IS182" s="116"/>
      <c r="IT182" s="116"/>
      <c r="IU182" s="116"/>
      <c r="IV182" s="116"/>
    </row>
    <row r="183" spans="1:256" s="114" customFormat="1" ht="12.75">
      <c r="A183" s="114" t="str">
        <f t="shared" si="4"/>
        <v>A2: Consommation de fourrage de base par les animaux consommant des fourrages grossiers</v>
      </c>
      <c r="B183" s="6" t="s">
        <v>1217</v>
      </c>
      <c r="C183" s="673" t="s">
        <v>430</v>
      </c>
      <c r="D183" s="507" t="s">
        <v>793</v>
      </c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  <c r="DK183" s="116"/>
      <c r="DL183" s="116"/>
      <c r="DM183" s="116"/>
      <c r="DN183" s="116"/>
      <c r="DO183" s="116"/>
      <c r="DP183" s="116"/>
      <c r="DQ183" s="116"/>
      <c r="DR183" s="116"/>
      <c r="DS183" s="116"/>
      <c r="DT183" s="116"/>
      <c r="DU183" s="116"/>
      <c r="DV183" s="116"/>
      <c r="DW183" s="116"/>
      <c r="DX183" s="116"/>
      <c r="DY183" s="116"/>
      <c r="DZ183" s="116"/>
      <c r="EA183" s="116"/>
      <c r="EB183" s="116"/>
      <c r="EC183" s="116"/>
      <c r="ED183" s="116"/>
      <c r="EE183" s="116"/>
      <c r="EF183" s="116"/>
      <c r="EG183" s="116"/>
      <c r="EH183" s="116"/>
      <c r="EI183" s="116"/>
      <c r="EJ183" s="116"/>
      <c r="EK183" s="116"/>
      <c r="EL183" s="116"/>
      <c r="EM183" s="116"/>
      <c r="EN183" s="116"/>
      <c r="EO183" s="116"/>
      <c r="EP183" s="116"/>
      <c r="EQ183" s="116"/>
      <c r="ER183" s="116"/>
      <c r="ES183" s="116"/>
      <c r="ET183" s="116"/>
      <c r="EU183" s="116"/>
      <c r="EV183" s="116"/>
      <c r="EW183" s="116"/>
      <c r="EX183" s="116"/>
      <c r="EY183" s="116"/>
      <c r="EZ183" s="116"/>
      <c r="FA183" s="116"/>
      <c r="FB183" s="116"/>
      <c r="FC183" s="116"/>
      <c r="FD183" s="116"/>
      <c r="FE183" s="116"/>
      <c r="FF183" s="116"/>
      <c r="FG183" s="116"/>
      <c r="FH183" s="116"/>
      <c r="FI183" s="116"/>
      <c r="FJ183" s="116"/>
      <c r="FK183" s="116"/>
      <c r="FL183" s="116"/>
      <c r="FM183" s="116"/>
      <c r="FN183" s="116"/>
      <c r="FO183" s="116"/>
      <c r="FP183" s="116"/>
      <c r="FQ183" s="116"/>
      <c r="FR183" s="116"/>
      <c r="FS183" s="116"/>
      <c r="FT183" s="116"/>
      <c r="FU183" s="116"/>
      <c r="FV183" s="116"/>
      <c r="FW183" s="116"/>
      <c r="FX183" s="116"/>
      <c r="FY183" s="116"/>
      <c r="FZ183" s="116"/>
      <c r="GA183" s="116"/>
      <c r="GB183" s="116"/>
      <c r="GC183" s="116"/>
      <c r="GD183" s="116"/>
      <c r="GE183" s="116"/>
      <c r="GF183" s="116"/>
      <c r="GG183" s="116"/>
      <c r="GH183" s="116"/>
      <c r="GI183" s="116"/>
      <c r="GJ183" s="116"/>
      <c r="GK183" s="116"/>
      <c r="GL183" s="116"/>
      <c r="GM183" s="116"/>
      <c r="GN183" s="116"/>
      <c r="GO183" s="116"/>
      <c r="GP183" s="116"/>
      <c r="GQ183" s="116"/>
      <c r="GR183" s="116"/>
      <c r="GS183" s="116"/>
      <c r="GT183" s="116"/>
      <c r="GU183" s="116"/>
      <c r="GV183" s="116"/>
      <c r="GW183" s="116"/>
      <c r="GX183" s="116"/>
      <c r="GY183" s="116"/>
      <c r="GZ183" s="116"/>
      <c r="HA183" s="116"/>
      <c r="HB183" s="116"/>
      <c r="HC183" s="116"/>
      <c r="HD183" s="116"/>
      <c r="HE183" s="116"/>
      <c r="HF183" s="116"/>
      <c r="HG183" s="116"/>
      <c r="HH183" s="116"/>
      <c r="HI183" s="116"/>
      <c r="HJ183" s="116"/>
      <c r="HK183" s="116"/>
      <c r="HL183" s="116"/>
      <c r="HM183" s="116"/>
      <c r="HN183" s="116"/>
      <c r="HO183" s="116"/>
      <c r="HP183" s="116"/>
      <c r="HQ183" s="116"/>
      <c r="HR183" s="116"/>
      <c r="HS183" s="116"/>
      <c r="HT183" s="116"/>
      <c r="HU183" s="116"/>
      <c r="HV183" s="116"/>
      <c r="HW183" s="116"/>
      <c r="HX183" s="116"/>
      <c r="HY183" s="116"/>
      <c r="HZ183" s="116"/>
      <c r="IA183" s="116"/>
      <c r="IB183" s="116"/>
      <c r="IC183" s="116"/>
      <c r="ID183" s="116"/>
      <c r="IE183" s="116"/>
      <c r="IF183" s="116"/>
      <c r="IG183" s="116"/>
      <c r="IH183" s="116"/>
      <c r="II183" s="116"/>
      <c r="IJ183" s="116"/>
      <c r="IK183" s="116"/>
      <c r="IL183" s="116"/>
      <c r="IM183" s="116"/>
      <c r="IN183" s="116"/>
      <c r="IO183" s="116"/>
      <c r="IP183" s="116"/>
      <c r="IQ183" s="116"/>
      <c r="IR183" s="116"/>
      <c r="IS183" s="116"/>
      <c r="IT183" s="116"/>
      <c r="IU183" s="116"/>
      <c r="IV183" s="116"/>
    </row>
    <row r="184" spans="1:256" s="114" customFormat="1" ht="12.75">
      <c r="A184" s="114" t="str">
        <f t="shared" si="4"/>
        <v>A3: Consommation de fourrage de prairie/pâtur. par les autres animaux</v>
      </c>
      <c r="B184" s="6" t="s">
        <v>557</v>
      </c>
      <c r="C184" s="672" t="s">
        <v>556</v>
      </c>
      <c r="D184" s="507" t="s">
        <v>794</v>
      </c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  <c r="DK184" s="116"/>
      <c r="DL184" s="116"/>
      <c r="DM184" s="116"/>
      <c r="DN184" s="116"/>
      <c r="DO184" s="116"/>
      <c r="DP184" s="116"/>
      <c r="DQ184" s="116"/>
      <c r="DR184" s="116"/>
      <c r="DS184" s="116"/>
      <c r="DT184" s="116"/>
      <c r="DU184" s="116"/>
      <c r="DV184" s="116"/>
      <c r="DW184" s="116"/>
      <c r="DX184" s="116"/>
      <c r="DY184" s="116"/>
      <c r="DZ184" s="116"/>
      <c r="EA184" s="116"/>
      <c r="EB184" s="116"/>
      <c r="EC184" s="116"/>
      <c r="ED184" s="116"/>
      <c r="EE184" s="116"/>
      <c r="EF184" s="116"/>
      <c r="EG184" s="116"/>
      <c r="EH184" s="116"/>
      <c r="EI184" s="116"/>
      <c r="EJ184" s="116"/>
      <c r="EK184" s="116"/>
      <c r="EL184" s="116"/>
      <c r="EM184" s="116"/>
      <c r="EN184" s="116"/>
      <c r="EO184" s="116"/>
      <c r="EP184" s="116"/>
      <c r="EQ184" s="116"/>
      <c r="ER184" s="116"/>
      <c r="ES184" s="116"/>
      <c r="ET184" s="116"/>
      <c r="EU184" s="116"/>
      <c r="EV184" s="116"/>
      <c r="EW184" s="116"/>
      <c r="EX184" s="116"/>
      <c r="EY184" s="116"/>
      <c r="EZ184" s="116"/>
      <c r="FA184" s="116"/>
      <c r="FB184" s="116"/>
      <c r="FC184" s="116"/>
      <c r="FD184" s="116"/>
      <c r="FE184" s="116"/>
      <c r="FF184" s="116"/>
      <c r="FG184" s="116"/>
      <c r="FH184" s="116"/>
      <c r="FI184" s="116"/>
      <c r="FJ184" s="116"/>
      <c r="FK184" s="116"/>
      <c r="FL184" s="116"/>
      <c r="FM184" s="116"/>
      <c r="FN184" s="116"/>
      <c r="FO184" s="116"/>
      <c r="FP184" s="116"/>
      <c r="FQ184" s="116"/>
      <c r="FR184" s="116"/>
      <c r="FS184" s="116"/>
      <c r="FT184" s="116"/>
      <c r="FU184" s="116"/>
      <c r="FV184" s="116"/>
      <c r="FW184" s="116"/>
      <c r="FX184" s="116"/>
      <c r="FY184" s="116"/>
      <c r="FZ184" s="116"/>
      <c r="GA184" s="116"/>
      <c r="GB184" s="116"/>
      <c r="GC184" s="116"/>
      <c r="GD184" s="116"/>
      <c r="GE184" s="116"/>
      <c r="GF184" s="116"/>
      <c r="GG184" s="116"/>
      <c r="GH184" s="116"/>
      <c r="GI184" s="116"/>
      <c r="GJ184" s="116"/>
      <c r="GK184" s="116"/>
      <c r="GL184" s="116"/>
      <c r="GM184" s="116"/>
      <c r="GN184" s="116"/>
      <c r="GO184" s="116"/>
      <c r="GP184" s="116"/>
      <c r="GQ184" s="116"/>
      <c r="GR184" s="116"/>
      <c r="GS184" s="116"/>
      <c r="GT184" s="116"/>
      <c r="GU184" s="116"/>
      <c r="GV184" s="116"/>
      <c r="GW184" s="116"/>
      <c r="GX184" s="116"/>
      <c r="GY184" s="116"/>
      <c r="GZ184" s="116"/>
      <c r="HA184" s="116"/>
      <c r="HB184" s="116"/>
      <c r="HC184" s="116"/>
      <c r="HD184" s="116"/>
      <c r="HE184" s="116"/>
      <c r="HF184" s="116"/>
      <c r="HG184" s="116"/>
      <c r="HH184" s="116"/>
      <c r="HI184" s="116"/>
      <c r="HJ184" s="116"/>
      <c r="HK184" s="116"/>
      <c r="HL184" s="116"/>
      <c r="HM184" s="116"/>
      <c r="HN184" s="116"/>
      <c r="HO184" s="116"/>
      <c r="HP184" s="116"/>
      <c r="HQ184" s="116"/>
      <c r="HR184" s="116"/>
      <c r="HS184" s="116"/>
      <c r="HT184" s="116"/>
      <c r="HU184" s="116"/>
      <c r="HV184" s="116"/>
      <c r="HW184" s="116"/>
      <c r="HX184" s="116"/>
      <c r="HY184" s="116"/>
      <c r="HZ184" s="116"/>
      <c r="IA184" s="116"/>
      <c r="IB184" s="116"/>
      <c r="IC184" s="116"/>
      <c r="ID184" s="116"/>
      <c r="IE184" s="116"/>
      <c r="IF184" s="116"/>
      <c r="IG184" s="116"/>
      <c r="IH184" s="116"/>
      <c r="II184" s="116"/>
      <c r="IJ184" s="116"/>
      <c r="IK184" s="116"/>
      <c r="IL184" s="116"/>
      <c r="IM184" s="116"/>
      <c r="IN184" s="116"/>
      <c r="IO184" s="116"/>
      <c r="IP184" s="116"/>
      <c r="IQ184" s="116"/>
      <c r="IR184" s="116"/>
      <c r="IS184" s="116"/>
      <c r="IT184" s="116"/>
      <c r="IU184" s="116"/>
      <c r="IV184" s="116"/>
    </row>
    <row r="185" spans="1:256" s="114" customFormat="1" ht="12.75">
      <c r="A185" s="114" t="str">
        <f t="shared" si="4"/>
        <v>A4: Consommation de concentrés par les animaux autorisés </v>
      </c>
      <c r="B185" s="6" t="s">
        <v>1204</v>
      </c>
      <c r="C185" s="672" t="s">
        <v>419</v>
      </c>
      <c r="D185" s="507" t="s">
        <v>795</v>
      </c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  <c r="DK185" s="116"/>
      <c r="DL185" s="116"/>
      <c r="DM185" s="116"/>
      <c r="DN185" s="116"/>
      <c r="DO185" s="116"/>
      <c r="DP185" s="116"/>
      <c r="DQ185" s="116"/>
      <c r="DR185" s="116"/>
      <c r="DS185" s="116"/>
      <c r="DT185" s="116"/>
      <c r="DU185" s="116"/>
      <c r="DV185" s="116"/>
      <c r="DW185" s="116"/>
      <c r="DX185" s="116"/>
      <c r="DY185" s="116"/>
      <c r="DZ185" s="116"/>
      <c r="EA185" s="116"/>
      <c r="EB185" s="116"/>
      <c r="EC185" s="116"/>
      <c r="ED185" s="116"/>
      <c r="EE185" s="116"/>
      <c r="EF185" s="116"/>
      <c r="EG185" s="116"/>
      <c r="EH185" s="116"/>
      <c r="EI185" s="116"/>
      <c r="EJ185" s="116"/>
      <c r="EK185" s="116"/>
      <c r="EL185" s="116"/>
      <c r="EM185" s="116"/>
      <c r="EN185" s="116"/>
      <c r="EO185" s="116"/>
      <c r="EP185" s="116"/>
      <c r="EQ185" s="116"/>
      <c r="ER185" s="116"/>
      <c r="ES185" s="116"/>
      <c r="ET185" s="116"/>
      <c r="EU185" s="116"/>
      <c r="EV185" s="116"/>
      <c r="EW185" s="116"/>
      <c r="EX185" s="116"/>
      <c r="EY185" s="116"/>
      <c r="EZ185" s="116"/>
      <c r="FA185" s="116"/>
      <c r="FB185" s="116"/>
      <c r="FC185" s="116"/>
      <c r="FD185" s="116"/>
      <c r="FE185" s="116"/>
      <c r="FF185" s="116"/>
      <c r="FG185" s="116"/>
      <c r="FH185" s="116"/>
      <c r="FI185" s="116"/>
      <c r="FJ185" s="116"/>
      <c r="FK185" s="116"/>
      <c r="FL185" s="116"/>
      <c r="FM185" s="116"/>
      <c r="FN185" s="116"/>
      <c r="FO185" s="116"/>
      <c r="FP185" s="116"/>
      <c r="FQ185" s="116"/>
      <c r="FR185" s="116"/>
      <c r="FS185" s="116"/>
      <c r="FT185" s="116"/>
      <c r="FU185" s="116"/>
      <c r="FV185" s="116"/>
      <c r="FW185" s="116"/>
      <c r="FX185" s="116"/>
      <c r="FY185" s="116"/>
      <c r="FZ185" s="116"/>
      <c r="GA185" s="116"/>
      <c r="GB185" s="116"/>
      <c r="GC185" s="116"/>
      <c r="GD185" s="116"/>
      <c r="GE185" s="116"/>
      <c r="GF185" s="116"/>
      <c r="GG185" s="116"/>
      <c r="GH185" s="116"/>
      <c r="GI185" s="116"/>
      <c r="GJ185" s="116"/>
      <c r="GK185" s="116"/>
      <c r="GL185" s="116"/>
      <c r="GM185" s="116"/>
      <c r="GN185" s="116"/>
      <c r="GO185" s="116"/>
      <c r="GP185" s="116"/>
      <c r="GQ185" s="116"/>
      <c r="GR185" s="116"/>
      <c r="GS185" s="116"/>
      <c r="GT185" s="116"/>
      <c r="GU185" s="116"/>
      <c r="GV185" s="116"/>
      <c r="GW185" s="116"/>
      <c r="GX185" s="116"/>
      <c r="GY185" s="116"/>
      <c r="GZ185" s="116"/>
      <c r="HA185" s="116"/>
      <c r="HB185" s="116"/>
      <c r="HC185" s="116"/>
      <c r="HD185" s="116"/>
      <c r="HE185" s="116"/>
      <c r="HF185" s="116"/>
      <c r="HG185" s="116"/>
      <c r="HH185" s="116"/>
      <c r="HI185" s="116"/>
      <c r="HJ185" s="116"/>
      <c r="HK185" s="116"/>
      <c r="HL185" s="116"/>
      <c r="HM185" s="116"/>
      <c r="HN185" s="116"/>
      <c r="HO185" s="116"/>
      <c r="HP185" s="116"/>
      <c r="HQ185" s="116"/>
      <c r="HR185" s="116"/>
      <c r="HS185" s="116"/>
      <c r="HT185" s="116"/>
      <c r="HU185" s="116"/>
      <c r="HV185" s="116"/>
      <c r="HW185" s="116"/>
      <c r="HX185" s="116"/>
      <c r="HY185" s="116"/>
      <c r="HZ185" s="116"/>
      <c r="IA185" s="116"/>
      <c r="IB185" s="116"/>
      <c r="IC185" s="116"/>
      <c r="ID185" s="116"/>
      <c r="IE185" s="116"/>
      <c r="IF185" s="116"/>
      <c r="IG185" s="116"/>
      <c r="IH185" s="116"/>
      <c r="II185" s="116"/>
      <c r="IJ185" s="116"/>
      <c r="IK185" s="116"/>
      <c r="IL185" s="116"/>
      <c r="IM185" s="116"/>
      <c r="IN185" s="116"/>
      <c r="IO185" s="116"/>
      <c r="IP185" s="116"/>
      <c r="IQ185" s="116"/>
      <c r="IR185" s="116"/>
      <c r="IS185" s="116"/>
      <c r="IT185" s="116"/>
      <c r="IU185" s="116"/>
      <c r="IV185" s="116"/>
    </row>
    <row r="186" spans="1:256" s="114" customFormat="1" ht="12.75">
      <c r="A186" s="114" t="str">
        <f t="shared" si="4"/>
        <v>A5: Consommation totale par les animaux consommant des fourrages grossiers</v>
      </c>
      <c r="B186" s="6" t="s">
        <v>1218</v>
      </c>
      <c r="C186" s="673" t="s">
        <v>426</v>
      </c>
      <c r="D186" s="507" t="s">
        <v>796</v>
      </c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  <c r="DK186" s="116"/>
      <c r="DL186" s="116"/>
      <c r="DM186" s="116"/>
      <c r="DN186" s="116"/>
      <c r="DO186" s="116"/>
      <c r="DP186" s="116"/>
      <c r="DQ186" s="116"/>
      <c r="DR186" s="116"/>
      <c r="DS186" s="116"/>
      <c r="DT186" s="116"/>
      <c r="DU186" s="116"/>
      <c r="DV186" s="116"/>
      <c r="DW186" s="116"/>
      <c r="DX186" s="116"/>
      <c r="DY186" s="116"/>
      <c r="DZ186" s="116"/>
      <c r="EA186" s="116"/>
      <c r="EB186" s="116"/>
      <c r="EC186" s="116"/>
      <c r="ED186" s="116"/>
      <c r="EE186" s="116"/>
      <c r="EF186" s="116"/>
      <c r="EG186" s="116"/>
      <c r="EH186" s="116"/>
      <c r="EI186" s="116"/>
      <c r="EJ186" s="116"/>
      <c r="EK186" s="116"/>
      <c r="EL186" s="116"/>
      <c r="EM186" s="116"/>
      <c r="EN186" s="116"/>
      <c r="EO186" s="116"/>
      <c r="EP186" s="116"/>
      <c r="EQ186" s="116"/>
      <c r="ER186" s="116"/>
      <c r="ES186" s="116"/>
      <c r="ET186" s="116"/>
      <c r="EU186" s="116"/>
      <c r="EV186" s="116"/>
      <c r="EW186" s="116"/>
      <c r="EX186" s="116"/>
      <c r="EY186" s="116"/>
      <c r="EZ186" s="116"/>
      <c r="FA186" s="116"/>
      <c r="FB186" s="116"/>
      <c r="FC186" s="116"/>
      <c r="FD186" s="116"/>
      <c r="FE186" s="116"/>
      <c r="FF186" s="116"/>
      <c r="FG186" s="116"/>
      <c r="FH186" s="116"/>
      <c r="FI186" s="116"/>
      <c r="FJ186" s="116"/>
      <c r="FK186" s="116"/>
      <c r="FL186" s="116"/>
      <c r="FM186" s="116"/>
      <c r="FN186" s="116"/>
      <c r="FO186" s="116"/>
      <c r="FP186" s="116"/>
      <c r="FQ186" s="116"/>
      <c r="FR186" s="116"/>
      <c r="FS186" s="116"/>
      <c r="FT186" s="116"/>
      <c r="FU186" s="116"/>
      <c r="FV186" s="116"/>
      <c r="FW186" s="116"/>
      <c r="FX186" s="116"/>
      <c r="FY186" s="116"/>
      <c r="FZ186" s="116"/>
      <c r="GA186" s="116"/>
      <c r="GB186" s="116"/>
      <c r="GC186" s="116"/>
      <c r="GD186" s="116"/>
      <c r="GE186" s="116"/>
      <c r="GF186" s="116"/>
      <c r="GG186" s="116"/>
      <c r="GH186" s="116"/>
      <c r="GI186" s="116"/>
      <c r="GJ186" s="116"/>
      <c r="GK186" s="116"/>
      <c r="GL186" s="116"/>
      <c r="GM186" s="116"/>
      <c r="GN186" s="116"/>
      <c r="GO186" s="116"/>
      <c r="GP186" s="116"/>
      <c r="GQ186" s="116"/>
      <c r="GR186" s="116"/>
      <c r="GS186" s="116"/>
      <c r="GT186" s="116"/>
      <c r="GU186" s="116"/>
      <c r="GV186" s="116"/>
      <c r="GW186" s="116"/>
      <c r="GX186" s="116"/>
      <c r="GY186" s="116"/>
      <c r="GZ186" s="116"/>
      <c r="HA186" s="116"/>
      <c r="HB186" s="116"/>
      <c r="HC186" s="116"/>
      <c r="HD186" s="116"/>
      <c r="HE186" s="116"/>
      <c r="HF186" s="116"/>
      <c r="HG186" s="116"/>
      <c r="HH186" s="116"/>
      <c r="HI186" s="116"/>
      <c r="HJ186" s="116"/>
      <c r="HK186" s="116"/>
      <c r="HL186" s="116"/>
      <c r="HM186" s="116"/>
      <c r="HN186" s="116"/>
      <c r="HO186" s="116"/>
      <c r="HP186" s="116"/>
      <c r="HQ186" s="116"/>
      <c r="HR186" s="116"/>
      <c r="HS186" s="116"/>
      <c r="HT186" s="116"/>
      <c r="HU186" s="116"/>
      <c r="HV186" s="116"/>
      <c r="HW186" s="116"/>
      <c r="HX186" s="116"/>
      <c r="HY186" s="116"/>
      <c r="HZ186" s="116"/>
      <c r="IA186" s="116"/>
      <c r="IB186" s="116"/>
      <c r="IC186" s="116"/>
      <c r="ID186" s="116"/>
      <c r="IE186" s="116"/>
      <c r="IF186" s="116"/>
      <c r="IG186" s="116"/>
      <c r="IH186" s="116"/>
      <c r="II186" s="116"/>
      <c r="IJ186" s="116"/>
      <c r="IK186" s="116"/>
      <c r="IL186" s="116"/>
      <c r="IM186" s="116"/>
      <c r="IN186" s="116"/>
      <c r="IO186" s="116"/>
      <c r="IP186" s="116"/>
      <c r="IQ186" s="116"/>
      <c r="IR186" s="116"/>
      <c r="IS186" s="116"/>
      <c r="IT186" s="116"/>
      <c r="IU186" s="116"/>
      <c r="IV186" s="116"/>
    </row>
    <row r="187" spans="1:256" s="114" customFormat="1" ht="12.75">
      <c r="A187" s="114" t="str">
        <f t="shared" si="4"/>
        <v>Estivage</v>
      </c>
      <c r="B187" s="6" t="s">
        <v>1252</v>
      </c>
      <c r="C187" s="550" t="s">
        <v>1253</v>
      </c>
      <c r="D187" s="770" t="s">
        <v>1254</v>
      </c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  <c r="DK187" s="116"/>
      <c r="DL187" s="116"/>
      <c r="DM187" s="116"/>
      <c r="DN187" s="116"/>
      <c r="DO187" s="116"/>
      <c r="DP187" s="116"/>
      <c r="DQ187" s="116"/>
      <c r="DR187" s="116"/>
      <c r="DS187" s="116"/>
      <c r="DT187" s="116"/>
      <c r="DU187" s="116"/>
      <c r="DV187" s="116"/>
      <c r="DW187" s="116"/>
      <c r="DX187" s="116"/>
      <c r="DY187" s="116"/>
      <c r="DZ187" s="116"/>
      <c r="EA187" s="116"/>
      <c r="EB187" s="116"/>
      <c r="EC187" s="116"/>
      <c r="ED187" s="116"/>
      <c r="EE187" s="116"/>
      <c r="EF187" s="116"/>
      <c r="EG187" s="116"/>
      <c r="EH187" s="116"/>
      <c r="EI187" s="116"/>
      <c r="EJ187" s="116"/>
      <c r="EK187" s="116"/>
      <c r="EL187" s="116"/>
      <c r="EM187" s="116"/>
      <c r="EN187" s="116"/>
      <c r="EO187" s="116"/>
      <c r="EP187" s="116"/>
      <c r="EQ187" s="116"/>
      <c r="ER187" s="116"/>
      <c r="ES187" s="116"/>
      <c r="ET187" s="116"/>
      <c r="EU187" s="116"/>
      <c r="EV187" s="116"/>
      <c r="EW187" s="116"/>
      <c r="EX187" s="116"/>
      <c r="EY187" s="116"/>
      <c r="EZ187" s="116"/>
      <c r="FA187" s="116"/>
      <c r="FB187" s="116"/>
      <c r="FC187" s="116"/>
      <c r="FD187" s="116"/>
      <c r="FE187" s="116"/>
      <c r="FF187" s="116"/>
      <c r="FG187" s="116"/>
      <c r="FH187" s="116"/>
      <c r="FI187" s="116"/>
      <c r="FJ187" s="116"/>
      <c r="FK187" s="116"/>
      <c r="FL187" s="116"/>
      <c r="FM187" s="116"/>
      <c r="FN187" s="116"/>
      <c r="FO187" s="116"/>
      <c r="FP187" s="116"/>
      <c r="FQ187" s="116"/>
      <c r="FR187" s="116"/>
      <c r="FS187" s="116"/>
      <c r="FT187" s="116"/>
      <c r="FU187" s="116"/>
      <c r="FV187" s="116"/>
      <c r="FW187" s="116"/>
      <c r="FX187" s="116"/>
      <c r="FY187" s="116"/>
      <c r="FZ187" s="116"/>
      <c r="GA187" s="116"/>
      <c r="GB187" s="116"/>
      <c r="GC187" s="116"/>
      <c r="GD187" s="116"/>
      <c r="GE187" s="116"/>
      <c r="GF187" s="116"/>
      <c r="GG187" s="116"/>
      <c r="GH187" s="116"/>
      <c r="GI187" s="116"/>
      <c r="GJ187" s="116"/>
      <c r="GK187" s="116"/>
      <c r="GL187" s="116"/>
      <c r="GM187" s="116"/>
      <c r="GN187" s="116"/>
      <c r="GO187" s="116"/>
      <c r="GP187" s="116"/>
      <c r="GQ187" s="116"/>
      <c r="GR187" s="116"/>
      <c r="GS187" s="116"/>
      <c r="GT187" s="116"/>
      <c r="GU187" s="116"/>
      <c r="GV187" s="116"/>
      <c r="GW187" s="116"/>
      <c r="GX187" s="116"/>
      <c r="GY187" s="116"/>
      <c r="GZ187" s="116"/>
      <c r="HA187" s="116"/>
      <c r="HB187" s="116"/>
      <c r="HC187" s="116"/>
      <c r="HD187" s="116"/>
      <c r="HE187" s="116"/>
      <c r="HF187" s="116"/>
      <c r="HG187" s="116"/>
      <c r="HH187" s="116"/>
      <c r="HI187" s="116"/>
      <c r="HJ187" s="116"/>
      <c r="HK187" s="116"/>
      <c r="HL187" s="116"/>
      <c r="HM187" s="116"/>
      <c r="HN187" s="116"/>
      <c r="HO187" s="116"/>
      <c r="HP187" s="116"/>
      <c r="HQ187" s="116"/>
      <c r="HR187" s="116"/>
      <c r="HS187" s="116"/>
      <c r="HT187" s="116"/>
      <c r="HU187" s="116"/>
      <c r="HV187" s="116"/>
      <c r="HW187" s="116"/>
      <c r="HX187" s="116"/>
      <c r="HY187" s="116"/>
      <c r="HZ187" s="116"/>
      <c r="IA187" s="116"/>
      <c r="IB187" s="116"/>
      <c r="IC187" s="116"/>
      <c r="ID187" s="116"/>
      <c r="IE187" s="116"/>
      <c r="IF187" s="116"/>
      <c r="IG187" s="116"/>
      <c r="IH187" s="116"/>
      <c r="II187" s="116"/>
      <c r="IJ187" s="116"/>
      <c r="IK187" s="116"/>
      <c r="IL187" s="116"/>
      <c r="IM187" s="116"/>
      <c r="IN187" s="116"/>
      <c r="IO187" s="116"/>
      <c r="IP187" s="116"/>
      <c r="IQ187" s="116"/>
      <c r="IR187" s="116"/>
      <c r="IS187" s="116"/>
      <c r="IT187" s="116"/>
      <c r="IU187" s="116"/>
      <c r="IV187" s="116"/>
    </row>
    <row r="188" spans="1:256" s="114" customFormat="1" ht="12.75">
      <c r="A188" s="114" t="str">
        <f t="shared" si="4"/>
        <v>A6: Consommation de fourrage de base par les animaux consommant des fourrages grossiers</v>
      </c>
      <c r="B188" s="6" t="s">
        <v>1268</v>
      </c>
      <c r="C188" s="550" t="s">
        <v>1269</v>
      </c>
      <c r="D188" s="770" t="s">
        <v>797</v>
      </c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  <c r="DK188" s="116"/>
      <c r="DL188" s="116"/>
      <c r="DM188" s="116"/>
      <c r="DN188" s="116"/>
      <c r="DO188" s="116"/>
      <c r="DP188" s="116"/>
      <c r="DQ188" s="116"/>
      <c r="DR188" s="116"/>
      <c r="DS188" s="116"/>
      <c r="DT188" s="116"/>
      <c r="DU188" s="116"/>
      <c r="DV188" s="116"/>
      <c r="DW188" s="116"/>
      <c r="DX188" s="116"/>
      <c r="DY188" s="116"/>
      <c r="DZ188" s="116"/>
      <c r="EA188" s="116"/>
      <c r="EB188" s="116"/>
      <c r="EC188" s="116"/>
      <c r="ED188" s="116"/>
      <c r="EE188" s="116"/>
      <c r="EF188" s="116"/>
      <c r="EG188" s="116"/>
      <c r="EH188" s="116"/>
      <c r="EI188" s="116"/>
      <c r="EJ188" s="116"/>
      <c r="EK188" s="116"/>
      <c r="EL188" s="116"/>
      <c r="EM188" s="116"/>
      <c r="EN188" s="116"/>
      <c r="EO188" s="116"/>
      <c r="EP188" s="116"/>
      <c r="EQ188" s="116"/>
      <c r="ER188" s="116"/>
      <c r="ES188" s="116"/>
      <c r="ET188" s="116"/>
      <c r="EU188" s="116"/>
      <c r="EV188" s="116"/>
      <c r="EW188" s="116"/>
      <c r="EX188" s="116"/>
      <c r="EY188" s="116"/>
      <c r="EZ188" s="116"/>
      <c r="FA188" s="116"/>
      <c r="FB188" s="116"/>
      <c r="FC188" s="116"/>
      <c r="FD188" s="116"/>
      <c r="FE188" s="116"/>
      <c r="FF188" s="116"/>
      <c r="FG188" s="116"/>
      <c r="FH188" s="116"/>
      <c r="FI188" s="116"/>
      <c r="FJ188" s="116"/>
      <c r="FK188" s="116"/>
      <c r="FL188" s="116"/>
      <c r="FM188" s="116"/>
      <c r="FN188" s="116"/>
      <c r="FO188" s="116"/>
      <c r="FP188" s="116"/>
      <c r="FQ188" s="116"/>
      <c r="FR188" s="116"/>
      <c r="FS188" s="116"/>
      <c r="FT188" s="116"/>
      <c r="FU188" s="116"/>
      <c r="FV188" s="116"/>
      <c r="FW188" s="116"/>
      <c r="FX188" s="116"/>
      <c r="FY188" s="116"/>
      <c r="FZ188" s="116"/>
      <c r="GA188" s="116"/>
      <c r="GB188" s="116"/>
      <c r="GC188" s="116"/>
      <c r="GD188" s="116"/>
      <c r="GE188" s="116"/>
      <c r="GF188" s="116"/>
      <c r="GG188" s="116"/>
      <c r="GH188" s="116"/>
      <c r="GI188" s="116"/>
      <c r="GJ188" s="116"/>
      <c r="GK188" s="116"/>
      <c r="GL188" s="116"/>
      <c r="GM188" s="116"/>
      <c r="GN188" s="116"/>
      <c r="GO188" s="116"/>
      <c r="GP188" s="116"/>
      <c r="GQ188" s="116"/>
      <c r="GR188" s="116"/>
      <c r="GS188" s="116"/>
      <c r="GT188" s="116"/>
      <c r="GU188" s="116"/>
      <c r="GV188" s="116"/>
      <c r="GW188" s="116"/>
      <c r="GX188" s="116"/>
      <c r="GY188" s="116"/>
      <c r="GZ188" s="116"/>
      <c r="HA188" s="116"/>
      <c r="HB188" s="116"/>
      <c r="HC188" s="116"/>
      <c r="HD188" s="116"/>
      <c r="HE188" s="116"/>
      <c r="HF188" s="116"/>
      <c r="HG188" s="116"/>
      <c r="HH188" s="116"/>
      <c r="HI188" s="116"/>
      <c r="HJ188" s="116"/>
      <c r="HK188" s="116"/>
      <c r="HL188" s="116"/>
      <c r="HM188" s="116"/>
      <c r="HN188" s="116"/>
      <c r="HO188" s="116"/>
      <c r="HP188" s="116"/>
      <c r="HQ188" s="116"/>
      <c r="HR188" s="116"/>
      <c r="HS188" s="116"/>
      <c r="HT188" s="116"/>
      <c r="HU188" s="116"/>
      <c r="HV188" s="116"/>
      <c r="HW188" s="116"/>
      <c r="HX188" s="116"/>
      <c r="HY188" s="116"/>
      <c r="HZ188" s="116"/>
      <c r="IA188" s="116"/>
      <c r="IB188" s="116"/>
      <c r="IC188" s="116"/>
      <c r="ID188" s="116"/>
      <c r="IE188" s="116"/>
      <c r="IF188" s="116"/>
      <c r="IG188" s="116"/>
      <c r="IH188" s="116"/>
      <c r="II188" s="116"/>
      <c r="IJ188" s="116"/>
      <c r="IK188" s="116"/>
      <c r="IL188" s="116"/>
      <c r="IM188" s="116"/>
      <c r="IN188" s="116"/>
      <c r="IO188" s="116"/>
      <c r="IP188" s="116"/>
      <c r="IQ188" s="116"/>
      <c r="IR188" s="116"/>
      <c r="IS188" s="116"/>
      <c r="IT188" s="116"/>
      <c r="IU188" s="116"/>
      <c r="IV188" s="116"/>
    </row>
    <row r="189" spans="1:256" s="114" customFormat="1" ht="12.75">
      <c r="A189" s="114" t="str">
        <f t="shared" si="4"/>
        <v>A7: Consommation de concentrés par les animaux autorisés </v>
      </c>
      <c r="B189" s="6" t="s">
        <v>1270</v>
      </c>
      <c r="C189" s="550" t="s">
        <v>1271</v>
      </c>
      <c r="D189" s="770" t="s">
        <v>798</v>
      </c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  <c r="DK189" s="116"/>
      <c r="DL189" s="116"/>
      <c r="DM189" s="116"/>
      <c r="DN189" s="116"/>
      <c r="DO189" s="116"/>
      <c r="DP189" s="116"/>
      <c r="DQ189" s="116"/>
      <c r="DR189" s="116"/>
      <c r="DS189" s="116"/>
      <c r="DT189" s="116"/>
      <c r="DU189" s="116"/>
      <c r="DV189" s="116"/>
      <c r="DW189" s="116"/>
      <c r="DX189" s="116"/>
      <c r="DY189" s="116"/>
      <c r="DZ189" s="116"/>
      <c r="EA189" s="116"/>
      <c r="EB189" s="116"/>
      <c r="EC189" s="116"/>
      <c r="ED189" s="116"/>
      <c r="EE189" s="116"/>
      <c r="EF189" s="116"/>
      <c r="EG189" s="116"/>
      <c r="EH189" s="116"/>
      <c r="EI189" s="116"/>
      <c r="EJ189" s="116"/>
      <c r="EK189" s="116"/>
      <c r="EL189" s="116"/>
      <c r="EM189" s="116"/>
      <c r="EN189" s="116"/>
      <c r="EO189" s="116"/>
      <c r="EP189" s="116"/>
      <c r="EQ189" s="116"/>
      <c r="ER189" s="116"/>
      <c r="ES189" s="116"/>
      <c r="ET189" s="116"/>
      <c r="EU189" s="116"/>
      <c r="EV189" s="116"/>
      <c r="EW189" s="116"/>
      <c r="EX189" s="116"/>
      <c r="EY189" s="116"/>
      <c r="EZ189" s="116"/>
      <c r="FA189" s="116"/>
      <c r="FB189" s="116"/>
      <c r="FC189" s="116"/>
      <c r="FD189" s="116"/>
      <c r="FE189" s="116"/>
      <c r="FF189" s="116"/>
      <c r="FG189" s="116"/>
      <c r="FH189" s="116"/>
      <c r="FI189" s="116"/>
      <c r="FJ189" s="116"/>
      <c r="FK189" s="116"/>
      <c r="FL189" s="116"/>
      <c r="FM189" s="116"/>
      <c r="FN189" s="116"/>
      <c r="FO189" s="116"/>
      <c r="FP189" s="116"/>
      <c r="FQ189" s="116"/>
      <c r="FR189" s="116"/>
      <c r="FS189" s="116"/>
      <c r="FT189" s="116"/>
      <c r="FU189" s="116"/>
      <c r="FV189" s="116"/>
      <c r="FW189" s="116"/>
      <c r="FX189" s="116"/>
      <c r="FY189" s="116"/>
      <c r="FZ189" s="116"/>
      <c r="GA189" s="116"/>
      <c r="GB189" s="116"/>
      <c r="GC189" s="116"/>
      <c r="GD189" s="116"/>
      <c r="GE189" s="116"/>
      <c r="GF189" s="116"/>
      <c r="GG189" s="116"/>
      <c r="GH189" s="116"/>
      <c r="GI189" s="116"/>
      <c r="GJ189" s="116"/>
      <c r="GK189" s="116"/>
      <c r="GL189" s="116"/>
      <c r="GM189" s="116"/>
      <c r="GN189" s="116"/>
      <c r="GO189" s="116"/>
      <c r="GP189" s="116"/>
      <c r="GQ189" s="116"/>
      <c r="GR189" s="116"/>
      <c r="GS189" s="116"/>
      <c r="GT189" s="116"/>
      <c r="GU189" s="116"/>
      <c r="GV189" s="116"/>
      <c r="GW189" s="116"/>
      <c r="GX189" s="116"/>
      <c r="GY189" s="116"/>
      <c r="GZ189" s="116"/>
      <c r="HA189" s="116"/>
      <c r="HB189" s="116"/>
      <c r="HC189" s="116"/>
      <c r="HD189" s="116"/>
      <c r="HE189" s="116"/>
      <c r="HF189" s="116"/>
      <c r="HG189" s="116"/>
      <c r="HH189" s="116"/>
      <c r="HI189" s="116"/>
      <c r="HJ189" s="116"/>
      <c r="HK189" s="116"/>
      <c r="HL189" s="116"/>
      <c r="HM189" s="116"/>
      <c r="HN189" s="116"/>
      <c r="HO189" s="116"/>
      <c r="HP189" s="116"/>
      <c r="HQ189" s="116"/>
      <c r="HR189" s="116"/>
      <c r="HS189" s="116"/>
      <c r="HT189" s="116"/>
      <c r="HU189" s="116"/>
      <c r="HV189" s="116"/>
      <c r="HW189" s="116"/>
      <c r="HX189" s="116"/>
      <c r="HY189" s="116"/>
      <c r="HZ189" s="116"/>
      <c r="IA189" s="116"/>
      <c r="IB189" s="116"/>
      <c r="IC189" s="116"/>
      <c r="ID189" s="116"/>
      <c r="IE189" s="116"/>
      <c r="IF189" s="116"/>
      <c r="IG189" s="116"/>
      <c r="IH189" s="116"/>
      <c r="II189" s="116"/>
      <c r="IJ189" s="116"/>
      <c r="IK189" s="116"/>
      <c r="IL189" s="116"/>
      <c r="IM189" s="116"/>
      <c r="IN189" s="116"/>
      <c r="IO189" s="116"/>
      <c r="IP189" s="116"/>
      <c r="IQ189" s="116"/>
      <c r="IR189" s="116"/>
      <c r="IS189" s="116"/>
      <c r="IT189" s="116"/>
      <c r="IU189" s="116"/>
      <c r="IV189" s="116"/>
    </row>
    <row r="190" spans="1:256" s="114" customFormat="1" ht="12.75">
      <c r="A190" s="114" t="str">
        <f t="shared" si="4"/>
        <v>A8: jours d'estivage selon AniCalc (BDTA)</v>
      </c>
      <c r="B190" s="114" t="s">
        <v>1272</v>
      </c>
      <c r="C190" s="550" t="s">
        <v>1273</v>
      </c>
      <c r="D190" s="114" t="s">
        <v>678</v>
      </c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  <c r="DK190" s="116"/>
      <c r="DL190" s="116"/>
      <c r="DM190" s="116"/>
      <c r="DN190" s="116"/>
      <c r="DO190" s="116"/>
      <c r="DP190" s="116"/>
      <c r="DQ190" s="116"/>
      <c r="DR190" s="116"/>
      <c r="DS190" s="116"/>
      <c r="DT190" s="116"/>
      <c r="DU190" s="116"/>
      <c r="DV190" s="116"/>
      <c r="DW190" s="116"/>
      <c r="DX190" s="116"/>
      <c r="DY190" s="116"/>
      <c r="DZ190" s="116"/>
      <c r="EA190" s="116"/>
      <c r="EB190" s="116"/>
      <c r="EC190" s="116"/>
      <c r="ED190" s="116"/>
      <c r="EE190" s="116"/>
      <c r="EF190" s="116"/>
      <c r="EG190" s="116"/>
      <c r="EH190" s="116"/>
      <c r="EI190" s="116"/>
      <c r="EJ190" s="116"/>
      <c r="EK190" s="116"/>
      <c r="EL190" s="116"/>
      <c r="EM190" s="116"/>
      <c r="EN190" s="116"/>
      <c r="EO190" s="116"/>
      <c r="EP190" s="116"/>
      <c r="EQ190" s="116"/>
      <c r="ER190" s="116"/>
      <c r="ES190" s="116"/>
      <c r="ET190" s="116"/>
      <c r="EU190" s="116"/>
      <c r="EV190" s="116"/>
      <c r="EW190" s="116"/>
      <c r="EX190" s="116"/>
      <c r="EY190" s="116"/>
      <c r="EZ190" s="116"/>
      <c r="FA190" s="116"/>
      <c r="FB190" s="116"/>
      <c r="FC190" s="116"/>
      <c r="FD190" s="116"/>
      <c r="FE190" s="116"/>
      <c r="FF190" s="116"/>
      <c r="FG190" s="116"/>
      <c r="FH190" s="116"/>
      <c r="FI190" s="116"/>
      <c r="FJ190" s="116"/>
      <c r="FK190" s="116"/>
      <c r="FL190" s="116"/>
      <c r="FM190" s="116"/>
      <c r="FN190" s="116"/>
      <c r="FO190" s="116"/>
      <c r="FP190" s="116"/>
      <c r="FQ190" s="116"/>
      <c r="FR190" s="116"/>
      <c r="FS190" s="116"/>
      <c r="FT190" s="116"/>
      <c r="FU190" s="116"/>
      <c r="FV190" s="116"/>
      <c r="FW190" s="116"/>
      <c r="FX190" s="116"/>
      <c r="FY190" s="116"/>
      <c r="FZ190" s="116"/>
      <c r="GA190" s="116"/>
      <c r="GB190" s="116"/>
      <c r="GC190" s="116"/>
      <c r="GD190" s="116"/>
      <c r="GE190" s="116"/>
      <c r="GF190" s="116"/>
      <c r="GG190" s="116"/>
      <c r="GH190" s="116"/>
      <c r="GI190" s="116"/>
      <c r="GJ190" s="116"/>
      <c r="GK190" s="116"/>
      <c r="GL190" s="116"/>
      <c r="GM190" s="116"/>
      <c r="GN190" s="116"/>
      <c r="GO190" s="116"/>
      <c r="GP190" s="116"/>
      <c r="GQ190" s="116"/>
      <c r="GR190" s="116"/>
      <c r="GS190" s="116"/>
      <c r="GT190" s="116"/>
      <c r="GU190" s="116"/>
      <c r="GV190" s="116"/>
      <c r="GW190" s="116"/>
      <c r="GX190" s="116"/>
      <c r="GY190" s="116"/>
      <c r="GZ190" s="116"/>
      <c r="HA190" s="116"/>
      <c r="HB190" s="116"/>
      <c r="HC190" s="116"/>
      <c r="HD190" s="116"/>
      <c r="HE190" s="116"/>
      <c r="HF190" s="116"/>
      <c r="HG190" s="116"/>
      <c r="HH190" s="116"/>
      <c r="HI190" s="116"/>
      <c r="HJ190" s="116"/>
      <c r="HK190" s="116"/>
      <c r="HL190" s="116"/>
      <c r="HM190" s="116"/>
      <c r="HN190" s="116"/>
      <c r="HO190" s="116"/>
      <c r="HP190" s="116"/>
      <c r="HQ190" s="116"/>
      <c r="HR190" s="116"/>
      <c r="HS190" s="116"/>
      <c r="HT190" s="116"/>
      <c r="HU190" s="116"/>
      <c r="HV190" s="116"/>
      <c r="HW190" s="116"/>
      <c r="HX190" s="116"/>
      <c r="HY190" s="116"/>
      <c r="HZ190" s="116"/>
      <c r="IA190" s="116"/>
      <c r="IB190" s="116"/>
      <c r="IC190" s="116"/>
      <c r="ID190" s="116"/>
      <c r="IE190" s="116"/>
      <c r="IF190" s="116"/>
      <c r="IG190" s="116"/>
      <c r="IH190" s="116"/>
      <c r="II190" s="116"/>
      <c r="IJ190" s="116"/>
      <c r="IK190" s="116"/>
      <c r="IL190" s="116"/>
      <c r="IM190" s="116"/>
      <c r="IN190" s="116"/>
      <c r="IO190" s="116"/>
      <c r="IP190" s="116"/>
      <c r="IQ190" s="116"/>
      <c r="IR190" s="116"/>
      <c r="IS190" s="116"/>
      <c r="IT190" s="116"/>
      <c r="IU190" s="116"/>
      <c r="IV190" s="116"/>
    </row>
    <row r="191" spans="2:256" s="114" customFormat="1" ht="12.75">
      <c r="B191" s="6"/>
      <c r="C191" s="489"/>
      <c r="D191" s="507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  <c r="DK191" s="116"/>
      <c r="DL191" s="116"/>
      <c r="DM191" s="116"/>
      <c r="DN191" s="116"/>
      <c r="DO191" s="116"/>
      <c r="DP191" s="116"/>
      <c r="DQ191" s="116"/>
      <c r="DR191" s="116"/>
      <c r="DS191" s="116"/>
      <c r="DT191" s="116"/>
      <c r="DU191" s="116"/>
      <c r="DV191" s="116"/>
      <c r="DW191" s="116"/>
      <c r="DX191" s="116"/>
      <c r="DY191" s="116"/>
      <c r="DZ191" s="116"/>
      <c r="EA191" s="116"/>
      <c r="EB191" s="116"/>
      <c r="EC191" s="116"/>
      <c r="ED191" s="116"/>
      <c r="EE191" s="116"/>
      <c r="EF191" s="116"/>
      <c r="EG191" s="116"/>
      <c r="EH191" s="116"/>
      <c r="EI191" s="116"/>
      <c r="EJ191" s="116"/>
      <c r="EK191" s="116"/>
      <c r="EL191" s="116"/>
      <c r="EM191" s="116"/>
      <c r="EN191" s="116"/>
      <c r="EO191" s="116"/>
      <c r="EP191" s="116"/>
      <c r="EQ191" s="116"/>
      <c r="ER191" s="116"/>
      <c r="ES191" s="116"/>
      <c r="ET191" s="116"/>
      <c r="EU191" s="116"/>
      <c r="EV191" s="116"/>
      <c r="EW191" s="116"/>
      <c r="EX191" s="116"/>
      <c r="EY191" s="116"/>
      <c r="EZ191" s="116"/>
      <c r="FA191" s="116"/>
      <c r="FB191" s="116"/>
      <c r="FC191" s="116"/>
      <c r="FD191" s="116"/>
      <c r="FE191" s="116"/>
      <c r="FF191" s="116"/>
      <c r="FG191" s="116"/>
      <c r="FH191" s="116"/>
      <c r="FI191" s="116"/>
      <c r="FJ191" s="116"/>
      <c r="FK191" s="116"/>
      <c r="FL191" s="116"/>
      <c r="FM191" s="116"/>
      <c r="FN191" s="116"/>
      <c r="FO191" s="116"/>
      <c r="FP191" s="116"/>
      <c r="FQ191" s="116"/>
      <c r="FR191" s="116"/>
      <c r="FS191" s="116"/>
      <c r="FT191" s="116"/>
      <c r="FU191" s="116"/>
      <c r="FV191" s="116"/>
      <c r="FW191" s="116"/>
      <c r="FX191" s="116"/>
      <c r="FY191" s="116"/>
      <c r="FZ191" s="116"/>
      <c r="GA191" s="116"/>
      <c r="GB191" s="116"/>
      <c r="GC191" s="116"/>
      <c r="GD191" s="116"/>
      <c r="GE191" s="116"/>
      <c r="GF191" s="116"/>
      <c r="GG191" s="116"/>
      <c r="GH191" s="116"/>
      <c r="GI191" s="116"/>
      <c r="GJ191" s="116"/>
      <c r="GK191" s="116"/>
      <c r="GL191" s="116"/>
      <c r="GM191" s="116"/>
      <c r="GN191" s="116"/>
      <c r="GO191" s="116"/>
      <c r="GP191" s="116"/>
      <c r="GQ191" s="116"/>
      <c r="GR191" s="116"/>
      <c r="GS191" s="116"/>
      <c r="GT191" s="116"/>
      <c r="GU191" s="116"/>
      <c r="GV191" s="116"/>
      <c r="GW191" s="116"/>
      <c r="GX191" s="116"/>
      <c r="GY191" s="116"/>
      <c r="GZ191" s="116"/>
      <c r="HA191" s="116"/>
      <c r="HB191" s="116"/>
      <c r="HC191" s="116"/>
      <c r="HD191" s="116"/>
      <c r="HE191" s="116"/>
      <c r="HF191" s="116"/>
      <c r="HG191" s="116"/>
      <c r="HH191" s="116"/>
      <c r="HI191" s="116"/>
      <c r="HJ191" s="116"/>
      <c r="HK191" s="116"/>
      <c r="HL191" s="116"/>
      <c r="HM191" s="116"/>
      <c r="HN191" s="116"/>
      <c r="HO191" s="116"/>
      <c r="HP191" s="116"/>
      <c r="HQ191" s="116"/>
      <c r="HR191" s="116"/>
      <c r="HS191" s="116"/>
      <c r="HT191" s="116"/>
      <c r="HU191" s="116"/>
      <c r="HV191" s="116"/>
      <c r="HW191" s="116"/>
      <c r="HX191" s="116"/>
      <c r="HY191" s="116"/>
      <c r="HZ191" s="116"/>
      <c r="IA191" s="116"/>
      <c r="IB191" s="116"/>
      <c r="IC191" s="116"/>
      <c r="ID191" s="116"/>
      <c r="IE191" s="116"/>
      <c r="IF191" s="116"/>
      <c r="IG191" s="116"/>
      <c r="IH191" s="116"/>
      <c r="II191" s="116"/>
      <c r="IJ191" s="116"/>
      <c r="IK191" s="116"/>
      <c r="IL191" s="116"/>
      <c r="IM191" s="116"/>
      <c r="IN191" s="116"/>
      <c r="IO191" s="116"/>
      <c r="IP191" s="116"/>
      <c r="IQ191" s="116"/>
      <c r="IR191" s="116"/>
      <c r="IS191" s="116"/>
      <c r="IT191" s="116"/>
      <c r="IU191" s="116"/>
      <c r="IV191" s="116"/>
    </row>
    <row r="192" spans="1:4" s="113" customFormat="1" ht="12.75">
      <c r="A192" s="113" t="str">
        <f aca="true" t="shared" si="5" ref="A192:A203">IF($A$2=1,B192,IF($A$2=2,C192,IF($A$2=3,D192,"")))</f>
        <v>Partie B: Production de fourrages</v>
      </c>
      <c r="B192" s="113" t="s">
        <v>1207</v>
      </c>
      <c r="C192" s="113" t="s">
        <v>434</v>
      </c>
      <c r="D192" s="506" t="s">
        <v>799</v>
      </c>
    </row>
    <row r="193" spans="1:4" ht="12.75">
      <c r="A193" s="114" t="str">
        <f t="shared" si="5"/>
        <v>Rend.</v>
      </c>
      <c r="B193" s="6" t="s">
        <v>48</v>
      </c>
      <c r="C193" s="6" t="s">
        <v>225</v>
      </c>
      <c r="D193" s="507" t="s">
        <v>650</v>
      </c>
    </row>
    <row r="194" spans="1:4" ht="12.75">
      <c r="A194" s="114" t="str">
        <f t="shared" si="5"/>
        <v>stand.</v>
      </c>
      <c r="B194" s="6" t="s">
        <v>224</v>
      </c>
      <c r="C194" s="6" t="s">
        <v>44</v>
      </c>
      <c r="D194" s="507" t="s">
        <v>44</v>
      </c>
    </row>
    <row r="195" spans="1:4" ht="12.75">
      <c r="A195" s="114" t="str">
        <f t="shared" si="5"/>
        <v>Rend.</v>
      </c>
      <c r="B195" s="6" t="s">
        <v>224</v>
      </c>
      <c r="C195" s="6" t="s">
        <v>225</v>
      </c>
      <c r="D195" s="507" t="s">
        <v>650</v>
      </c>
    </row>
    <row r="196" spans="1:4" ht="12.75">
      <c r="A196" s="114" t="str">
        <f t="shared" si="5"/>
        <v>Surf.</v>
      </c>
      <c r="B196" s="6" t="s">
        <v>223</v>
      </c>
      <c r="C196" s="6" t="s">
        <v>45</v>
      </c>
      <c r="D196" s="507" t="s">
        <v>44</v>
      </c>
    </row>
    <row r="197" spans="1:4" ht="12.75">
      <c r="A197" s="114" t="str">
        <f t="shared" si="5"/>
        <v>dt MS/ha</v>
      </c>
      <c r="B197" s="6" t="s">
        <v>47</v>
      </c>
      <c r="C197" s="6" t="s">
        <v>334</v>
      </c>
      <c r="D197" s="507" t="s">
        <v>651</v>
      </c>
    </row>
    <row r="198" spans="1:4" ht="12.75">
      <c r="A198" s="114" t="str">
        <f t="shared" si="5"/>
        <v>Quant.</v>
      </c>
      <c r="B198" s="6" t="s">
        <v>153</v>
      </c>
      <c r="C198" s="6" t="s">
        <v>46</v>
      </c>
      <c r="D198" s="507" t="s">
        <v>46</v>
      </c>
    </row>
    <row r="199" spans="1:4" ht="12.75">
      <c r="A199" s="114" t="str">
        <f t="shared" si="5"/>
        <v>dt MS</v>
      </c>
      <c r="B199" s="6" t="s">
        <v>74</v>
      </c>
      <c r="C199" s="6" t="s">
        <v>172</v>
      </c>
      <c r="D199" s="507" t="s">
        <v>575</v>
      </c>
    </row>
    <row r="200" spans="1:4" ht="12.75">
      <c r="A200" s="114" t="str">
        <f t="shared" si="5"/>
        <v>  1 = vente</v>
      </c>
      <c r="B200" s="6" t="s">
        <v>192</v>
      </c>
      <c r="C200" s="6" t="s">
        <v>321</v>
      </c>
      <c r="D200" s="507" t="s">
        <v>652</v>
      </c>
    </row>
    <row r="201" spans="1:4" ht="12.75">
      <c r="A201" s="114" t="str">
        <f t="shared" si="5"/>
        <v>  2 = achat</v>
      </c>
      <c r="B201" s="6" t="s">
        <v>193</v>
      </c>
      <c r="C201" s="6" t="s">
        <v>322</v>
      </c>
      <c r="D201" s="507" t="s">
        <v>653</v>
      </c>
    </row>
    <row r="202" spans="1:4" ht="12.75">
      <c r="A202" s="114" t="str">
        <f t="shared" si="5"/>
        <v>  3 = hors SF</v>
      </c>
      <c r="B202" s="6" t="s">
        <v>194</v>
      </c>
      <c r="C202" s="6" t="s">
        <v>324</v>
      </c>
      <c r="D202" s="507" t="s">
        <v>654</v>
      </c>
    </row>
    <row r="203" spans="1:4" ht="12.75">
      <c r="A203" s="114" t="str">
        <f t="shared" si="5"/>
        <v>Maïs plante/maïs ensilage plante entière</v>
      </c>
      <c r="B203" s="6" t="s">
        <v>477</v>
      </c>
      <c r="C203" s="6" t="s">
        <v>435</v>
      </c>
      <c r="D203" s="507" t="s">
        <v>781</v>
      </c>
    </row>
    <row r="204" spans="1:4" ht="12.75">
      <c r="A204" s="114" t="str">
        <f>IF($A$2=1,B204,IF($A$2=2,C204,IF($A$2=3,D205,"")))</f>
        <v>Betterave fourragère (sans feuille)</v>
      </c>
      <c r="B204" s="6" t="s">
        <v>154</v>
      </c>
      <c r="C204" s="487" t="s">
        <v>155</v>
      </c>
      <c r="D204" s="507" t="s">
        <v>657</v>
      </c>
    </row>
    <row r="205" spans="1:4" ht="12.75">
      <c r="A205" s="114" t="str">
        <f>IF($A$2=1,B205,IF($A$2=2,C205,IF($A$2=3,D204,"")))</f>
        <v>Maïs à faucher en vert (2ème culture)</v>
      </c>
      <c r="B205" s="6" t="s">
        <v>478</v>
      </c>
      <c r="C205" s="487" t="s">
        <v>436</v>
      </c>
      <c r="D205" s="507" t="s">
        <v>656</v>
      </c>
    </row>
    <row r="206" spans="1:4" ht="12.75">
      <c r="A206" s="114" t="str">
        <f aca="true" t="shared" si="6" ref="A206:A237">IF($A$2=1,B206,IF($A$2=2,C206,IF($A$2=3,D206,"")))</f>
        <v>Paille de céréales de l'exploitation affouragée</v>
      </c>
      <c r="B206" s="6" t="s">
        <v>1236</v>
      </c>
      <c r="C206" s="6" t="s">
        <v>437</v>
      </c>
      <c r="D206" s="507" t="s">
        <v>658</v>
      </c>
    </row>
    <row r="207" spans="1:4" ht="12.75">
      <c r="A207" s="114" t="str">
        <f t="shared" si="6"/>
        <v>Feuilles de betteraves de l'exploitation affouragées</v>
      </c>
      <c r="B207" s="6" t="s">
        <v>1237</v>
      </c>
      <c r="C207" s="6" t="s">
        <v>1238</v>
      </c>
      <c r="D207" s="507" t="s">
        <v>659</v>
      </c>
    </row>
    <row r="208" spans="1:5" ht="12.75">
      <c r="A208" s="114" t="str">
        <f t="shared" si="6"/>
        <v>Dérobées, semis de PA d'été, rompue de printemps (si récoltés)</v>
      </c>
      <c r="B208" s="6" t="s">
        <v>260</v>
      </c>
      <c r="C208" s="6" t="s">
        <v>438</v>
      </c>
      <c r="D208" s="507" t="s">
        <v>811</v>
      </c>
      <c r="E208" s="6" t="s">
        <v>787</v>
      </c>
    </row>
    <row r="209" spans="1:4" ht="12.75">
      <c r="A209" s="114" t="str">
        <f t="shared" si="6"/>
        <v>Production de semences: Légumineuses pures</v>
      </c>
      <c r="B209" s="6" t="s">
        <v>156</v>
      </c>
      <c r="C209" s="6" t="s">
        <v>157</v>
      </c>
      <c r="D209" s="507" t="s">
        <v>660</v>
      </c>
    </row>
    <row r="210" spans="1:4" ht="12.75">
      <c r="A210" s="114" t="str">
        <f t="shared" si="6"/>
        <v>Production de semences: Graminées pures</v>
      </c>
      <c r="B210" s="6" t="s">
        <v>158</v>
      </c>
      <c r="C210" s="6" t="s">
        <v>159</v>
      </c>
      <c r="D210" s="507" t="s">
        <v>661</v>
      </c>
    </row>
    <row r="211" spans="1:4" ht="12.75">
      <c r="A211" s="114" t="str">
        <f t="shared" si="6"/>
        <v>Prairies extensives</v>
      </c>
      <c r="B211" s="6" t="s">
        <v>160</v>
      </c>
      <c r="C211" s="6" t="s">
        <v>161</v>
      </c>
      <c r="D211" s="507" t="s">
        <v>662</v>
      </c>
    </row>
    <row r="212" spans="1:4" ht="12.75">
      <c r="A212" s="114" t="str">
        <f t="shared" si="6"/>
        <v>Autres prairies avec interdiction de fumure</v>
      </c>
      <c r="B212" s="6" t="s">
        <v>226</v>
      </c>
      <c r="C212" s="6" t="s">
        <v>214</v>
      </c>
      <c r="D212" s="507" t="s">
        <v>663</v>
      </c>
    </row>
    <row r="213" spans="1:4" ht="12.75">
      <c r="A213" s="114" t="str">
        <f t="shared" si="6"/>
        <v>Pâturages extensifs, pâturages boisés</v>
      </c>
      <c r="B213" s="6" t="s">
        <v>162</v>
      </c>
      <c r="C213" s="6" t="s">
        <v>163</v>
      </c>
      <c r="D213" s="507" t="s">
        <v>664</v>
      </c>
    </row>
    <row r="214" spans="1:4" ht="12.75">
      <c r="A214" s="114" t="str">
        <f t="shared" si="6"/>
        <v>Prairies et pâturages</v>
      </c>
      <c r="B214" s="6" t="s">
        <v>215</v>
      </c>
      <c r="C214" s="6" t="s">
        <v>216</v>
      </c>
      <c r="D214" s="507" t="s">
        <v>665</v>
      </c>
    </row>
    <row r="215" spans="1:4" ht="12.75">
      <c r="A215" s="114" t="str">
        <f t="shared" si="6"/>
        <v>peu intensifs  (1-3 utilisations) </v>
      </c>
      <c r="B215" s="6" t="s">
        <v>99</v>
      </c>
      <c r="C215" s="6" t="s">
        <v>336</v>
      </c>
      <c r="D215" s="507" t="s">
        <v>666</v>
      </c>
    </row>
    <row r="216" spans="1:4" ht="12.75">
      <c r="A216" s="114" t="str">
        <f t="shared" si="6"/>
        <v>mi-intensifs    (1-4 utilisations) </v>
      </c>
      <c r="B216" s="6" t="s">
        <v>100</v>
      </c>
      <c r="C216" s="6" t="s">
        <v>338</v>
      </c>
      <c r="D216" s="507" t="s">
        <v>812</v>
      </c>
    </row>
    <row r="217" spans="1:4" ht="12.75">
      <c r="A217" s="114" t="str">
        <f t="shared" si="6"/>
        <v>intensifs         (2-6 utilisations)  </v>
      </c>
      <c r="B217" s="6" t="s">
        <v>101</v>
      </c>
      <c r="C217" s="6" t="s">
        <v>340</v>
      </c>
      <c r="D217" s="507" t="s">
        <v>667</v>
      </c>
    </row>
    <row r="218" spans="1:4" ht="12.75">
      <c r="A218" s="114" t="str">
        <f t="shared" si="6"/>
        <v>Surface herbagère</v>
      </c>
      <c r="B218" s="6" t="s">
        <v>351</v>
      </c>
      <c r="C218" s="6" t="s">
        <v>372</v>
      </c>
      <c r="D218" s="507" t="s">
        <v>668</v>
      </c>
    </row>
    <row r="219" spans="1:4" ht="12.75">
      <c r="A219" s="114" t="str">
        <f t="shared" si="6"/>
        <v>Surface en cultures dérobées</v>
      </c>
      <c r="B219" s="6" t="s">
        <v>1201</v>
      </c>
      <c r="C219" s="6" t="s">
        <v>439</v>
      </c>
      <c r="D219" s="507" t="s">
        <v>669</v>
      </c>
    </row>
    <row r="220" spans="1:4" ht="12.75">
      <c r="A220" s="114" t="str">
        <f t="shared" si="6"/>
        <v>B1: Production totale de fourrages</v>
      </c>
      <c r="B220" s="6" t="s">
        <v>1206</v>
      </c>
      <c r="C220" s="6" t="s">
        <v>440</v>
      </c>
      <c r="D220" s="507" t="s">
        <v>682</v>
      </c>
    </row>
    <row r="221" spans="1:4" ht="12.75">
      <c r="A221" s="114" t="str">
        <f t="shared" si="6"/>
        <v>B2: Production de fourrages issus des prairies et pâturages</v>
      </c>
      <c r="B221" s="6" t="s">
        <v>220</v>
      </c>
      <c r="C221" s="6" t="s">
        <v>441</v>
      </c>
      <c r="D221" s="507" t="s">
        <v>800</v>
      </c>
    </row>
    <row r="222" spans="1:4" ht="12.75">
      <c r="A222" s="114" t="str">
        <f t="shared" si="6"/>
        <v>B3: Production d'autres fourrages</v>
      </c>
      <c r="B222" s="6" t="s">
        <v>204</v>
      </c>
      <c r="C222" s="6" t="s">
        <v>205</v>
      </c>
      <c r="D222" s="507" t="s">
        <v>683</v>
      </c>
    </row>
    <row r="223" spans="1:4" ht="12.75">
      <c r="A223" s="114" t="str">
        <f t="shared" si="6"/>
        <v>Le rendement maximal est dépassé!</v>
      </c>
      <c r="B223" s="6" t="s">
        <v>360</v>
      </c>
      <c r="C223" s="6" t="s">
        <v>361</v>
      </c>
      <c r="D223" s="507" t="s">
        <v>684</v>
      </c>
    </row>
    <row r="224" spans="1:4" ht="12.75">
      <c r="A224" s="114" t="str">
        <f t="shared" si="6"/>
        <v>Indication de charge minimale en bétail</v>
      </c>
      <c r="B224" s="6" t="s">
        <v>1116</v>
      </c>
      <c r="C224" s="6" t="s">
        <v>1117</v>
      </c>
      <c r="D224" s="507" t="s">
        <v>1118</v>
      </c>
    </row>
    <row r="225" spans="1:4" ht="12.75">
      <c r="A225" s="114" t="str">
        <f t="shared" si="6"/>
        <v>minimale en bétail</v>
      </c>
      <c r="B225" s="6" t="s">
        <v>370</v>
      </c>
      <c r="C225" s="6" t="s">
        <v>442</v>
      </c>
      <c r="D225" s="507" t="s">
        <v>809</v>
      </c>
    </row>
    <row r="226" spans="1:4" ht="12.75">
      <c r="A226" s="114" t="str">
        <f t="shared" si="6"/>
        <v>surf. herb. permanentes</v>
      </c>
      <c r="B226" s="6" t="s">
        <v>365</v>
      </c>
      <c r="C226" s="6" t="s">
        <v>371</v>
      </c>
      <c r="D226" s="507" t="s">
        <v>813</v>
      </c>
    </row>
    <row r="227" spans="1:4" ht="12.75">
      <c r="A227" s="114" t="str">
        <f t="shared" si="6"/>
        <v>prairies temporaires</v>
      </c>
      <c r="B227" s="6" t="s">
        <v>364</v>
      </c>
      <c r="C227" s="6" t="s">
        <v>444</v>
      </c>
      <c r="D227" s="507" t="s">
        <v>685</v>
      </c>
    </row>
    <row r="228" spans="1:4" ht="12.75">
      <c r="A228" s="114" t="str">
        <f t="shared" si="6"/>
        <v>SPB</v>
      </c>
      <c r="B228" s="6" t="s">
        <v>366</v>
      </c>
      <c r="C228" s="6" t="s">
        <v>368</v>
      </c>
      <c r="D228" s="507" t="s">
        <v>368</v>
      </c>
    </row>
    <row r="229" spans="1:4" ht="12.75">
      <c r="A229" s="114" t="str">
        <f t="shared" si="6"/>
        <v>Zones de plaine</v>
      </c>
      <c r="B229" s="6" t="s">
        <v>266</v>
      </c>
      <c r="C229" s="6" t="s">
        <v>239</v>
      </c>
      <c r="D229" s="507" t="s">
        <v>530</v>
      </c>
    </row>
    <row r="230" spans="1:4" ht="12.75">
      <c r="A230" s="114" t="str">
        <f t="shared" si="6"/>
        <v>Zone des collines</v>
      </c>
      <c r="B230" s="6" t="s">
        <v>267</v>
      </c>
      <c r="C230" s="6" t="s">
        <v>268</v>
      </c>
      <c r="D230" s="507" t="s">
        <v>531</v>
      </c>
    </row>
    <row r="231" spans="1:4" ht="12.75">
      <c r="A231" s="114" t="str">
        <f t="shared" si="6"/>
        <v>Zone montagne 1</v>
      </c>
      <c r="B231" s="6" t="s">
        <v>269</v>
      </c>
      <c r="C231" s="6" t="s">
        <v>270</v>
      </c>
      <c r="D231" s="507" t="s">
        <v>532</v>
      </c>
    </row>
    <row r="232" spans="1:4" ht="12.75">
      <c r="A232" s="114" t="str">
        <f t="shared" si="6"/>
        <v>Zone montagne 2</v>
      </c>
      <c r="B232" s="6" t="s">
        <v>271</v>
      </c>
      <c r="C232" s="6" t="s">
        <v>272</v>
      </c>
      <c r="D232" s="507" t="s">
        <v>533</v>
      </c>
    </row>
    <row r="233" spans="1:4" ht="12.75">
      <c r="A233" s="114" t="str">
        <f t="shared" si="6"/>
        <v>Zone montagne 3</v>
      </c>
      <c r="B233" s="6" t="s">
        <v>273</v>
      </c>
      <c r="C233" s="6" t="s">
        <v>279</v>
      </c>
      <c r="D233" s="507" t="s">
        <v>534</v>
      </c>
    </row>
    <row r="234" spans="1:4" ht="12.75">
      <c r="A234" s="114" t="str">
        <f t="shared" si="6"/>
        <v>Zone montagne 4</v>
      </c>
      <c r="B234" s="6" t="s">
        <v>280</v>
      </c>
      <c r="C234" s="550" t="s">
        <v>281</v>
      </c>
      <c r="D234" s="773" t="s">
        <v>535</v>
      </c>
    </row>
    <row r="235" spans="1:4" ht="12.75">
      <c r="A235" s="114" t="str">
        <f t="shared" si="6"/>
        <v>surfaces à l'étranger</v>
      </c>
      <c r="B235" s="6" t="s">
        <v>871</v>
      </c>
      <c r="C235" s="550" t="s">
        <v>870</v>
      </c>
      <c r="D235" s="773" t="s">
        <v>872</v>
      </c>
    </row>
    <row r="236" spans="1:4" ht="12.75">
      <c r="A236" s="114" t="str">
        <f t="shared" si="6"/>
        <v>Difference de surface de:</v>
      </c>
      <c r="B236" s="6" t="s">
        <v>369</v>
      </c>
      <c r="C236" s="550" t="s">
        <v>445</v>
      </c>
      <c r="D236" s="773" t="s">
        <v>686</v>
      </c>
    </row>
    <row r="237" spans="1:4" ht="12.75">
      <c r="A237" s="114" t="str">
        <f t="shared" si="6"/>
        <v>SPB trop haute</v>
      </c>
      <c r="B237" s="6" t="s">
        <v>880</v>
      </c>
      <c r="C237" s="550" t="s">
        <v>890</v>
      </c>
      <c r="D237" s="773" t="s">
        <v>889</v>
      </c>
    </row>
    <row r="238" spans="1:4" ht="12.75">
      <c r="A238" s="114" t="str">
        <f aca="true" t="shared" si="7" ref="A238:A273">IF($A$2=1,B238,IF($A$2=2,C238,IF($A$2=3,D238,"")))</f>
        <v>N'avez-vous pas des SPB?</v>
      </c>
      <c r="B238" s="6" t="s">
        <v>881</v>
      </c>
      <c r="C238" s="550" t="s">
        <v>887</v>
      </c>
      <c r="D238" s="773" t="s">
        <v>888</v>
      </c>
    </row>
    <row r="239" spans="1:5" ht="12.75">
      <c r="A239" s="114" t="str">
        <f t="shared" si="7"/>
        <v>Bilan des fourrages non équilibré!</v>
      </c>
      <c r="B239" s="6" t="s">
        <v>195</v>
      </c>
      <c r="C239" s="550" t="s">
        <v>196</v>
      </c>
      <c r="D239" s="773" t="s">
        <v>1025</v>
      </c>
      <c r="E239" s="507" t="s">
        <v>649</v>
      </c>
    </row>
    <row r="240" spans="1:5" ht="12.75">
      <c r="A240" s="114" t="str">
        <f t="shared" si="7"/>
        <v>Vache mère &amp; veau</v>
      </c>
      <c r="B240" s="550" t="s">
        <v>721</v>
      </c>
      <c r="C240" s="550" t="s">
        <v>893</v>
      </c>
      <c r="D240" s="770" t="s">
        <v>927</v>
      </c>
      <c r="E240" s="721"/>
    </row>
    <row r="241" spans="1:5" ht="12.75">
      <c r="A241" s="114" t="str">
        <f t="shared" si="7"/>
        <v>Fourragé aux</v>
      </c>
      <c r="B241" s="550" t="s">
        <v>274</v>
      </c>
      <c r="C241" s="550" t="s">
        <v>925</v>
      </c>
      <c r="D241" s="770" t="s">
        <v>801</v>
      </c>
      <c r="E241" s="721"/>
    </row>
    <row r="242" spans="1:5" ht="12.75">
      <c r="A242" s="114" t="str">
        <f t="shared" si="7"/>
        <v>vaches &amp; veaux dt MS</v>
      </c>
      <c r="B242" s="550" t="s">
        <v>275</v>
      </c>
      <c r="C242" s="550" t="s">
        <v>926</v>
      </c>
      <c r="D242" s="770" t="s">
        <v>802</v>
      </c>
      <c r="E242" s="721"/>
    </row>
    <row r="243" spans="1:5" ht="12.75">
      <c r="A243" s="114" t="str">
        <f t="shared" si="7"/>
        <v>Quantité fourrages pour vache mère &amp; veau &gt; quantité fourrages produits sur l'exploitation</v>
      </c>
      <c r="B243" s="550" t="s">
        <v>28</v>
      </c>
      <c r="C243" s="550" t="s">
        <v>928</v>
      </c>
      <c r="D243" s="770" t="s">
        <v>803</v>
      </c>
      <c r="E243" s="721"/>
    </row>
    <row r="244" spans="1:4" ht="16.5">
      <c r="A244" s="114">
        <f t="shared" si="7"/>
        <v>0</v>
      </c>
      <c r="C244" s="550"/>
      <c r="D244" s="505"/>
    </row>
    <row r="245" spans="1:4" s="113" customFormat="1" ht="12.75">
      <c r="A245" s="113" t="str">
        <f t="shared" si="7"/>
        <v>Partie C: Achats / Ventes de fourrages</v>
      </c>
      <c r="B245" s="113" t="s">
        <v>43</v>
      </c>
      <c r="C245" s="113" t="s">
        <v>446</v>
      </c>
      <c r="D245" s="506" t="s">
        <v>687</v>
      </c>
    </row>
    <row r="246" spans="1:4" ht="12.75">
      <c r="A246" s="114" t="str">
        <f t="shared" si="7"/>
        <v>Consommation de fourrages (selon total ci-dessus) </v>
      </c>
      <c r="B246" s="6" t="s">
        <v>1208</v>
      </c>
      <c r="C246" s="114" t="s">
        <v>447</v>
      </c>
      <c r="D246" s="507" t="s">
        <v>688</v>
      </c>
    </row>
    <row r="247" spans="1:4" ht="12.75">
      <c r="A247" s="114" t="str">
        <f t="shared" si="7"/>
        <v>Fourrages vendus, achetés ou produits sur l'exploitation hors surface fourragère     </v>
      </c>
      <c r="B247" s="6" t="s">
        <v>129</v>
      </c>
      <c r="C247" s="6" t="s">
        <v>312</v>
      </c>
      <c r="D247" s="507" t="s">
        <v>804</v>
      </c>
    </row>
    <row r="248" spans="1:4" ht="12.75">
      <c r="A248" s="114" t="str">
        <f t="shared" si="7"/>
        <v>Type de fourrage </v>
      </c>
      <c r="B248" s="6" t="s">
        <v>97</v>
      </c>
      <c r="C248" s="6" t="s">
        <v>313</v>
      </c>
      <c r="D248" s="507" t="s">
        <v>689</v>
      </c>
    </row>
    <row r="249" spans="1:4" ht="12.75">
      <c r="A249" s="114" t="str">
        <f t="shared" si="7"/>
        <v>Quantité</v>
      </c>
      <c r="B249" s="6" t="s">
        <v>153</v>
      </c>
      <c r="C249" s="6" t="s">
        <v>314</v>
      </c>
      <c r="D249" s="507" t="s">
        <v>690</v>
      </c>
    </row>
    <row r="250" spans="1:4" ht="12.75">
      <c r="A250" s="114" t="str">
        <f t="shared" si="7"/>
        <v>dt</v>
      </c>
      <c r="B250" s="6" t="s">
        <v>342</v>
      </c>
      <c r="C250" s="6" t="s">
        <v>342</v>
      </c>
      <c r="D250" s="507" t="s">
        <v>579</v>
      </c>
    </row>
    <row r="251" spans="1:4" ht="12.75">
      <c r="A251" s="114" t="str">
        <f t="shared" si="7"/>
        <v>  %</v>
      </c>
      <c r="B251" s="6" t="s">
        <v>344</v>
      </c>
      <c r="C251" s="6" t="s">
        <v>315</v>
      </c>
      <c r="D251" s="507" t="s">
        <v>344</v>
      </c>
    </row>
    <row r="252" spans="1:4" ht="12.75">
      <c r="A252" s="114" t="str">
        <f t="shared" si="7"/>
        <v>  MS</v>
      </c>
      <c r="B252" s="6" t="s">
        <v>222</v>
      </c>
      <c r="C252" s="6" t="s">
        <v>319</v>
      </c>
      <c r="D252" s="507" t="s">
        <v>691</v>
      </c>
    </row>
    <row r="253" spans="1:4" ht="12.75">
      <c r="A253" s="114" t="str">
        <f t="shared" si="7"/>
        <v>Code</v>
      </c>
      <c r="B253" s="6" t="s">
        <v>87</v>
      </c>
      <c r="C253" s="6" t="s">
        <v>87</v>
      </c>
      <c r="D253" s="507" t="s">
        <v>692</v>
      </c>
    </row>
    <row r="254" spans="1:4" ht="12.75">
      <c r="A254" s="114" t="str">
        <f t="shared" si="7"/>
        <v>Ventes</v>
      </c>
      <c r="B254" s="6" t="s">
        <v>133</v>
      </c>
      <c r="C254" s="6" t="s">
        <v>316</v>
      </c>
      <c r="D254" s="507" t="s">
        <v>693</v>
      </c>
    </row>
    <row r="255" spans="1:4" ht="12.75">
      <c r="A255" s="114" t="str">
        <f t="shared" si="7"/>
        <v>dt MS</v>
      </c>
      <c r="B255" s="6" t="s">
        <v>74</v>
      </c>
      <c r="C255" s="6" t="s">
        <v>172</v>
      </c>
      <c r="D255" s="507" t="s">
        <v>575</v>
      </c>
    </row>
    <row r="256" spans="1:4" ht="12.75">
      <c r="A256" s="114" t="str">
        <f t="shared" si="7"/>
        <v>dt MF</v>
      </c>
      <c r="B256" s="6" t="s">
        <v>130</v>
      </c>
      <c r="C256" s="6" t="s">
        <v>131</v>
      </c>
      <c r="D256" s="507" t="s">
        <v>573</v>
      </c>
    </row>
    <row r="257" spans="1:4" ht="12.75">
      <c r="A257" s="114" t="str">
        <f t="shared" si="7"/>
        <v>MS</v>
      </c>
      <c r="B257" s="6" t="s">
        <v>222</v>
      </c>
      <c r="C257" s="6" t="s">
        <v>132</v>
      </c>
      <c r="D257" s="507" t="s">
        <v>691</v>
      </c>
    </row>
    <row r="258" spans="1:4" ht="12.75">
      <c r="A258" s="114" t="str">
        <f t="shared" si="7"/>
        <v>Achats</v>
      </c>
      <c r="B258" s="6" t="s">
        <v>134</v>
      </c>
      <c r="C258" s="6" t="s">
        <v>317</v>
      </c>
      <c r="D258" s="507" t="s">
        <v>694</v>
      </c>
    </row>
    <row r="259" spans="1:4" ht="12.75">
      <c r="A259" s="114" t="str">
        <f t="shared" si="7"/>
        <v>hors SF</v>
      </c>
      <c r="B259" s="6" t="s">
        <v>347</v>
      </c>
      <c r="C259" s="6" t="s">
        <v>318</v>
      </c>
      <c r="D259" s="507" t="s">
        <v>695</v>
      </c>
    </row>
    <row r="260" spans="1:4" ht="12.75">
      <c r="A260" s="114" t="str">
        <f t="shared" si="7"/>
        <v>dt MS)</v>
      </c>
      <c r="B260" s="6" t="s">
        <v>137</v>
      </c>
      <c r="C260" s="6" t="s">
        <v>329</v>
      </c>
      <c r="D260" s="507" t="s">
        <v>696</v>
      </c>
    </row>
    <row r="261" spans="1:4" ht="12.75">
      <c r="A261" s="114" t="str">
        <f t="shared" si="7"/>
        <v>Herbe</v>
      </c>
      <c r="B261" s="6" t="s">
        <v>1222</v>
      </c>
      <c r="C261" s="6" t="s">
        <v>1224</v>
      </c>
      <c r="D261" s="507" t="s">
        <v>697</v>
      </c>
    </row>
    <row r="262" spans="1:4" ht="12.75">
      <c r="A262" s="114" t="str">
        <f t="shared" si="7"/>
        <v>Ensilage d'herbe</v>
      </c>
      <c r="B262" s="6" t="s">
        <v>56</v>
      </c>
      <c r="C262" s="6" t="s">
        <v>57</v>
      </c>
      <c r="D262" s="507" t="s">
        <v>698</v>
      </c>
    </row>
    <row r="263" spans="1:4" ht="12.75">
      <c r="A263" s="114" t="str">
        <f t="shared" si="7"/>
        <v>Herbe déshydratée (cubes)</v>
      </c>
      <c r="B263" s="6" t="s">
        <v>1223</v>
      </c>
      <c r="C263" s="6" t="s">
        <v>448</v>
      </c>
      <c r="D263" s="507" t="s">
        <v>784</v>
      </c>
    </row>
    <row r="264" spans="1:4" ht="12.75">
      <c r="A264" s="114" t="str">
        <f t="shared" si="7"/>
        <v>Foin, regain </v>
      </c>
      <c r="B264" s="6" t="s">
        <v>135</v>
      </c>
      <c r="C264" s="6" t="s">
        <v>323</v>
      </c>
      <c r="D264" s="507" t="s">
        <v>699</v>
      </c>
    </row>
    <row r="265" spans="1:4" ht="12.75">
      <c r="A265" s="114" t="str">
        <f t="shared" si="7"/>
        <v>Foin, regain, "pauvre" </v>
      </c>
      <c r="B265" s="6" t="s">
        <v>136</v>
      </c>
      <c r="C265" s="6" t="s">
        <v>325</v>
      </c>
      <c r="D265" s="507" t="s">
        <v>786</v>
      </c>
    </row>
    <row r="266" spans="1:4" ht="12.75">
      <c r="A266" s="114" t="str">
        <f t="shared" si="7"/>
        <v>Ensilage de céréales plantes entières</v>
      </c>
      <c r="B266" s="6" t="s">
        <v>1199</v>
      </c>
      <c r="C266" s="114" t="s">
        <v>449</v>
      </c>
      <c r="D266" s="507" t="s">
        <v>700</v>
      </c>
    </row>
    <row r="267" spans="1:4" ht="12.75">
      <c r="A267" s="114" t="str">
        <f t="shared" si="7"/>
        <v>Maïs ensilage</v>
      </c>
      <c r="B267" s="6" t="s">
        <v>227</v>
      </c>
      <c r="C267" s="6" t="s">
        <v>298</v>
      </c>
      <c r="D267" s="507" t="s">
        <v>655</v>
      </c>
    </row>
    <row r="268" spans="1:4" ht="12.75">
      <c r="A268" s="114" t="str">
        <f t="shared" si="7"/>
        <v>Maïs fauché en vert</v>
      </c>
      <c r="B268" s="6" t="s">
        <v>89</v>
      </c>
      <c r="C268" s="488" t="s">
        <v>450</v>
      </c>
      <c r="D268" s="507" t="s">
        <v>656</v>
      </c>
    </row>
    <row r="269" spans="1:4" ht="12.75">
      <c r="A269" s="114" t="str">
        <f t="shared" si="7"/>
        <v>Maïs plante entière déshydraté (cubes)</v>
      </c>
      <c r="B269" s="6" t="s">
        <v>1225</v>
      </c>
      <c r="C269" s="6" t="s">
        <v>451</v>
      </c>
      <c r="D269" s="507" t="s">
        <v>785</v>
      </c>
    </row>
    <row r="270" spans="1:4" ht="12.75">
      <c r="A270" s="114" t="str">
        <f t="shared" si="7"/>
        <v>Maïs épi CCM (pour bovins engrais)</v>
      </c>
      <c r="B270" s="6" t="s">
        <v>98</v>
      </c>
      <c r="C270" s="6" t="s">
        <v>452</v>
      </c>
      <c r="D270" s="507" t="s">
        <v>701</v>
      </c>
    </row>
    <row r="271" spans="1:4" ht="12.75">
      <c r="A271" s="114" t="str">
        <f t="shared" si="7"/>
        <v>Betterave fourragère </v>
      </c>
      <c r="B271" s="6" t="s">
        <v>228</v>
      </c>
      <c r="C271" s="6" t="s">
        <v>326</v>
      </c>
      <c r="D271" s="507" t="s">
        <v>702</v>
      </c>
    </row>
    <row r="272" spans="1:4" ht="12.75">
      <c r="A272" s="114" t="str">
        <f t="shared" si="7"/>
        <v>Betterave sucrière </v>
      </c>
      <c r="B272" s="6" t="s">
        <v>294</v>
      </c>
      <c r="C272" s="6" t="s">
        <v>327</v>
      </c>
      <c r="D272" s="507" t="s">
        <v>703</v>
      </c>
    </row>
    <row r="273" spans="1:4" ht="12.75">
      <c r="A273" s="114" t="str">
        <f t="shared" si="7"/>
        <v>Pulpe de betterave, fraîche</v>
      </c>
      <c r="B273" s="6" t="s">
        <v>1226</v>
      </c>
      <c r="C273" s="6" t="s">
        <v>1227</v>
      </c>
      <c r="D273" s="507" t="s">
        <v>704</v>
      </c>
    </row>
    <row r="274" spans="1:4" ht="12.75">
      <c r="A274" s="114" t="str">
        <f aca="true" t="shared" si="8" ref="A274:A314">IF($A$2=1,B274,IF($A$2=2,C274,IF($A$2=3,D274,"")))</f>
        <v>Pulpe de betterave, ensilée</v>
      </c>
      <c r="B274" s="6" t="s">
        <v>1228</v>
      </c>
      <c r="C274" s="6" t="s">
        <v>1230</v>
      </c>
      <c r="D274" s="507" t="s">
        <v>705</v>
      </c>
    </row>
    <row r="275" spans="1:4" ht="12.75">
      <c r="A275" s="114" t="str">
        <f t="shared" si="8"/>
        <v>Pulpe de betterave, séchée</v>
      </c>
      <c r="B275" s="6" t="s">
        <v>1229</v>
      </c>
      <c r="C275" s="6" t="s">
        <v>1235</v>
      </c>
      <c r="D275" s="507" t="s">
        <v>706</v>
      </c>
    </row>
    <row r="276" spans="1:4" ht="12.75">
      <c r="A276" s="114" t="str">
        <f t="shared" si="8"/>
        <v>Feuilles de betteraves </v>
      </c>
      <c r="B276" s="6" t="s">
        <v>1231</v>
      </c>
      <c r="C276" s="114" t="s">
        <v>453</v>
      </c>
      <c r="D276" s="507" t="s">
        <v>783</v>
      </c>
    </row>
    <row r="277" spans="1:4" ht="12.75">
      <c r="A277" s="114" t="str">
        <f t="shared" si="8"/>
        <v>Pommes de terre </v>
      </c>
      <c r="B277" s="6" t="s">
        <v>1239</v>
      </c>
      <c r="C277" s="6" t="s">
        <v>328</v>
      </c>
      <c r="D277" s="507" t="s">
        <v>707</v>
      </c>
    </row>
    <row r="278" spans="1:4" ht="12.75">
      <c r="A278" s="114" t="str">
        <f t="shared" si="8"/>
        <v>Racines d'endives</v>
      </c>
      <c r="B278" s="6" t="s">
        <v>1232</v>
      </c>
      <c r="C278" s="6" t="s">
        <v>1234</v>
      </c>
      <c r="D278" s="507" t="s">
        <v>723</v>
      </c>
    </row>
    <row r="279" spans="1:4" ht="12.75">
      <c r="A279" s="114" t="str">
        <f t="shared" si="8"/>
        <v>Résidus transformation fruits/légumes</v>
      </c>
      <c r="B279" s="6" t="s">
        <v>1233</v>
      </c>
      <c r="C279" s="114" t="s">
        <v>454</v>
      </c>
      <c r="D279" s="507" t="s">
        <v>724</v>
      </c>
    </row>
    <row r="280" spans="1:4" ht="12.75">
      <c r="A280" s="114" t="str">
        <f t="shared" si="8"/>
        <v>Drêches de brasserie</v>
      </c>
      <c r="B280" s="6" t="s">
        <v>749</v>
      </c>
      <c r="C280" s="114" t="s">
        <v>750</v>
      </c>
      <c r="D280" s="770" t="s">
        <v>751</v>
      </c>
    </row>
    <row r="281" spans="1:4" ht="12.75">
      <c r="A281" s="114" t="str">
        <f t="shared" si="8"/>
        <v>Achat de paille pour l'affouragement </v>
      </c>
      <c r="B281" s="6" t="s">
        <v>891</v>
      </c>
      <c r="C281" s="6" t="s">
        <v>455</v>
      </c>
      <c r="D281" s="507" t="s">
        <v>725</v>
      </c>
    </row>
    <row r="282" spans="1:6" ht="12.75">
      <c r="A282" s="114" t="str">
        <f t="shared" si="8"/>
        <v>C1: Total ventes de fourrages issus des prairies et pâturages</v>
      </c>
      <c r="B282" s="6" t="s">
        <v>218</v>
      </c>
      <c r="C282" s="6" t="s">
        <v>456</v>
      </c>
      <c r="D282" s="507" t="s">
        <v>726</v>
      </c>
      <c r="F282" s="6" t="s">
        <v>96</v>
      </c>
    </row>
    <row r="283" spans="1:4" ht="12.75">
      <c r="A283" s="114" t="str">
        <f t="shared" si="8"/>
        <v>C2: Total ventes d'autres fourrages</v>
      </c>
      <c r="B283" s="6" t="s">
        <v>1209</v>
      </c>
      <c r="C283" s="6" t="s">
        <v>457</v>
      </c>
      <c r="D283" s="507" t="s">
        <v>727</v>
      </c>
    </row>
    <row r="284" spans="1:4" ht="12.75">
      <c r="A284" s="114" t="str">
        <f t="shared" si="8"/>
        <v>C3: Total achats issus de prairies et pâturages</v>
      </c>
      <c r="B284" s="6" t="s">
        <v>219</v>
      </c>
      <c r="C284" s="6" t="s">
        <v>458</v>
      </c>
      <c r="D284" s="507" t="s">
        <v>728</v>
      </c>
    </row>
    <row r="285" spans="1:4" ht="12.75">
      <c r="A285" s="114" t="str">
        <f t="shared" si="8"/>
        <v>C4: Total achats d'autres fourrages</v>
      </c>
      <c r="B285" s="6" t="s">
        <v>1210</v>
      </c>
      <c r="C285" s="114" t="s">
        <v>459</v>
      </c>
      <c r="D285" s="507" t="s">
        <v>729</v>
      </c>
    </row>
    <row r="286" spans="1:4" ht="12.75">
      <c r="A286" s="114" t="str">
        <f t="shared" si="8"/>
        <v>C5: Fourrages produits sur l'exploitation hors surface fourragère</v>
      </c>
      <c r="B286" s="6" t="s">
        <v>1211</v>
      </c>
      <c r="C286" s="6" t="s">
        <v>460</v>
      </c>
      <c r="D286" s="507" t="s">
        <v>730</v>
      </c>
    </row>
    <row r="287" spans="1:4" ht="12.75">
      <c r="A287" s="114" t="str">
        <f t="shared" si="8"/>
        <v>Total des besoins nets en fourrages  </v>
      </c>
      <c r="B287" s="6" t="s">
        <v>138</v>
      </c>
      <c r="C287" s="6" t="s">
        <v>332</v>
      </c>
      <c r="D287" s="507" t="s">
        <v>731</v>
      </c>
    </row>
    <row r="288" spans="1:4" ht="12.75">
      <c r="A288" s="114" t="str">
        <f t="shared" si="8"/>
        <v>C6: Pertes de conservation et à la crèche : 0-5% des besoins nets en fourrages   </v>
      </c>
      <c r="B288" s="96" t="s">
        <v>485</v>
      </c>
      <c r="C288" s="490" t="s">
        <v>461</v>
      </c>
      <c r="D288" s="507" t="s">
        <v>732</v>
      </c>
    </row>
    <row r="289" spans="1:4" ht="12.75">
      <c r="A289" s="114" t="str">
        <f t="shared" si="8"/>
        <v>C7: Marge d'erreur sur le bilan de matière sèche (MS) : 0-5% des besoins nets en fourrages </v>
      </c>
      <c r="B289" s="96" t="s">
        <v>484</v>
      </c>
      <c r="C289" s="96" t="s">
        <v>462</v>
      </c>
      <c r="D289" s="508" t="s">
        <v>733</v>
      </c>
    </row>
    <row r="290" spans="1:4" ht="12.75">
      <c r="A290" s="114" t="str">
        <f t="shared" si="8"/>
        <v>Total des fourrages à produire sur l'exploitation  </v>
      </c>
      <c r="B290" s="6" t="s">
        <v>139</v>
      </c>
      <c r="C290" s="6" t="s">
        <v>463</v>
      </c>
      <c r="D290" s="507" t="s">
        <v>734</v>
      </c>
    </row>
    <row r="291" spans="1:4" ht="12.75">
      <c r="A291" s="114" t="str">
        <f t="shared" si="8"/>
        <v>Vache mère &amp; veau</v>
      </c>
      <c r="B291" s="550" t="s">
        <v>721</v>
      </c>
      <c r="C291" s="6" t="s">
        <v>893</v>
      </c>
      <c r="D291" s="770" t="s">
        <v>927</v>
      </c>
    </row>
    <row r="292" spans="1:4" ht="12.75">
      <c r="A292" s="114" t="str">
        <f t="shared" si="8"/>
        <v>Fourragé aux</v>
      </c>
      <c r="B292" s="550" t="s">
        <v>274</v>
      </c>
      <c r="C292" s="550" t="s">
        <v>925</v>
      </c>
      <c r="D292" s="770" t="s">
        <v>801</v>
      </c>
    </row>
    <row r="293" spans="1:4" ht="12.75">
      <c r="A293" s="114" t="str">
        <f t="shared" si="8"/>
        <v>vaches &amp; veaux</v>
      </c>
      <c r="B293" s="550" t="s">
        <v>721</v>
      </c>
      <c r="C293" s="550" t="s">
        <v>629</v>
      </c>
      <c r="D293" s="770" t="s">
        <v>802</v>
      </c>
    </row>
    <row r="294" spans="1:4" ht="12.75">
      <c r="A294" s="114" t="str">
        <f t="shared" si="8"/>
        <v>quantité</v>
      </c>
      <c r="B294" s="550" t="s">
        <v>153</v>
      </c>
      <c r="C294" s="6" t="s">
        <v>894</v>
      </c>
      <c r="D294" s="770" t="s">
        <v>805</v>
      </c>
    </row>
    <row r="295" spans="1:4" ht="12.75">
      <c r="A295" s="114" t="str">
        <f t="shared" si="8"/>
        <v>dt MS</v>
      </c>
      <c r="B295" s="6" t="s">
        <v>74</v>
      </c>
      <c r="C295" s="6" t="s">
        <v>172</v>
      </c>
      <c r="D295" s="770" t="s">
        <v>575</v>
      </c>
    </row>
    <row r="296" spans="1:5" ht="12.75">
      <c r="A296" s="114" t="str">
        <f t="shared" si="8"/>
        <v>Quantité fourrages pour vache mère &amp; veau &gt; quantité fourrages acheté/produits hors SF</v>
      </c>
      <c r="B296" s="6" t="s">
        <v>29</v>
      </c>
      <c r="C296" s="550" t="s">
        <v>277</v>
      </c>
      <c r="D296" s="770" t="s">
        <v>806</v>
      </c>
      <c r="E296" s="721"/>
    </row>
    <row r="297" spans="1:4" ht="12.75">
      <c r="A297" s="114"/>
      <c r="D297" s="507"/>
    </row>
    <row r="298" spans="1:4" s="113" customFormat="1" ht="12.75">
      <c r="A298" s="113" t="str">
        <f t="shared" si="8"/>
        <v>Partie D: Bilan des fourrages</v>
      </c>
      <c r="B298" s="113" t="s">
        <v>210</v>
      </c>
      <c r="C298" s="113" t="s">
        <v>464</v>
      </c>
      <c r="D298" s="506" t="s">
        <v>735</v>
      </c>
    </row>
    <row r="299" spans="1:4" ht="12.75">
      <c r="A299" s="114" t="str">
        <f t="shared" si="8"/>
        <v>Consommation totale</v>
      </c>
      <c r="B299" s="6" t="s">
        <v>200</v>
      </c>
      <c r="C299" s="6" t="s">
        <v>27</v>
      </c>
      <c r="D299" s="507" t="s">
        <v>736</v>
      </c>
    </row>
    <row r="300" spans="1:4" ht="12.75">
      <c r="A300" s="114" t="str">
        <f t="shared" si="8"/>
        <v>[+] Pertes et marge d'erreur</v>
      </c>
      <c r="B300" s="6" t="s">
        <v>1193</v>
      </c>
      <c r="C300" s="550" t="s">
        <v>1194</v>
      </c>
      <c r="D300" s="507" t="s">
        <v>737</v>
      </c>
    </row>
    <row r="301" spans="1:4" ht="12.75">
      <c r="A301" s="114" t="str">
        <f t="shared" si="8"/>
        <v>[+] Consommation durant estivage</v>
      </c>
      <c r="B301" s="6" t="s">
        <v>1276</v>
      </c>
      <c r="C301" s="550" t="s">
        <v>1277</v>
      </c>
      <c r="D301" s="770" t="s">
        <v>679</v>
      </c>
    </row>
    <row r="302" spans="1:4" ht="12.75">
      <c r="A302" s="114" t="str">
        <f t="shared" si="8"/>
        <v>Production</v>
      </c>
      <c r="B302" s="6" t="s">
        <v>197</v>
      </c>
      <c r="C302" s="550" t="s">
        <v>164</v>
      </c>
      <c r="D302" s="507" t="s">
        <v>738</v>
      </c>
    </row>
    <row r="303" spans="1:4" ht="12.75">
      <c r="A303" s="114" t="str">
        <f t="shared" si="8"/>
        <v>[+] Achats</v>
      </c>
      <c r="B303" s="6" t="s">
        <v>198</v>
      </c>
      <c r="C303" s="550" t="s">
        <v>20</v>
      </c>
      <c r="D303" s="507" t="s">
        <v>739</v>
      </c>
    </row>
    <row r="304" spans="1:4" ht="12.75">
      <c r="A304" s="114" t="str">
        <f t="shared" si="8"/>
        <v>[+] Fourrages/concentrés durant estivage</v>
      </c>
      <c r="B304" s="6" t="s">
        <v>1278</v>
      </c>
      <c r="C304" s="550" t="s">
        <v>1113</v>
      </c>
      <c r="D304" s="770" t="s">
        <v>680</v>
      </c>
    </row>
    <row r="305" spans="1:4" ht="12.75">
      <c r="A305" s="114" t="str">
        <f t="shared" si="8"/>
        <v>[-] Ventes</v>
      </c>
      <c r="B305" s="6" t="s">
        <v>199</v>
      </c>
      <c r="C305" s="550" t="s">
        <v>21</v>
      </c>
      <c r="D305" s="507" t="s">
        <v>693</v>
      </c>
    </row>
    <row r="306" spans="1:4" ht="12.75">
      <c r="A306" s="114" t="str">
        <f t="shared" si="8"/>
        <v>[-] Fourrages pour d'autres animaux</v>
      </c>
      <c r="B306" s="6" t="s">
        <v>201</v>
      </c>
      <c r="C306" s="6" t="s">
        <v>465</v>
      </c>
      <c r="D306" s="507" t="s">
        <v>740</v>
      </c>
    </row>
    <row r="307" spans="1:4" ht="12.75">
      <c r="A307" s="114" t="str">
        <f t="shared" si="8"/>
        <v>Bilan</v>
      </c>
      <c r="B307" s="6" t="s">
        <v>202</v>
      </c>
      <c r="C307" s="6" t="s">
        <v>22</v>
      </c>
      <c r="D307" s="507" t="s">
        <v>741</v>
      </c>
    </row>
    <row r="308" spans="1:5" ht="12.75" customHeight="1">
      <c r="A308" s="114" t="str">
        <f t="shared" si="8"/>
        <v>Parts exigées dans la ration</v>
      </c>
      <c r="B308" s="6" t="s">
        <v>988</v>
      </c>
      <c r="C308" s="487" t="s">
        <v>1126</v>
      </c>
      <c r="D308" s="114" t="s">
        <v>1111</v>
      </c>
      <c r="E308" s="671"/>
    </row>
    <row r="309" spans="1:5" ht="12.75">
      <c r="A309" s="114" t="str">
        <f t="shared" si="8"/>
        <v>Total des</v>
      </c>
      <c r="B309" s="6" t="s">
        <v>299</v>
      </c>
      <c r="C309" s="6" t="s">
        <v>1197</v>
      </c>
      <c r="D309" s="508" t="s">
        <v>574</v>
      </c>
      <c r="E309" s="671"/>
    </row>
    <row r="310" spans="1:4" ht="12.75">
      <c r="A310" s="114" t="str">
        <f t="shared" si="8"/>
        <v>besoins</v>
      </c>
      <c r="B310" s="6" t="s">
        <v>65</v>
      </c>
      <c r="C310" s="6" t="s">
        <v>1198</v>
      </c>
      <c r="D310" s="508" t="s">
        <v>742</v>
      </c>
    </row>
    <row r="311" spans="1:4" ht="12.75">
      <c r="A311" s="114" t="str">
        <f t="shared" si="8"/>
        <v>Four. prairies</v>
      </c>
      <c r="B311" s="6" t="s">
        <v>254</v>
      </c>
      <c r="C311" s="6" t="s">
        <v>479</v>
      </c>
      <c r="D311" s="508" t="s">
        <v>743</v>
      </c>
    </row>
    <row r="312" spans="1:4" ht="12.75">
      <c r="A312" s="114" t="str">
        <f t="shared" si="8"/>
        <v>et pâturages</v>
      </c>
      <c r="B312" s="6" t="s">
        <v>348</v>
      </c>
      <c r="C312" s="6" t="s">
        <v>466</v>
      </c>
      <c r="D312" s="508" t="s">
        <v>744</v>
      </c>
    </row>
    <row r="313" spans="1:4" ht="12.75">
      <c r="A313" s="114" t="str">
        <f t="shared" si="8"/>
        <v>Autres</v>
      </c>
      <c r="B313" s="6" t="s">
        <v>203</v>
      </c>
      <c r="C313" s="6" t="s">
        <v>467</v>
      </c>
      <c r="D313" s="508" t="s">
        <v>745</v>
      </c>
    </row>
    <row r="314" spans="1:4" ht="12.75">
      <c r="A314" s="114" t="str">
        <f t="shared" si="8"/>
        <v>fourrages total</v>
      </c>
      <c r="B314" s="6" t="s">
        <v>171</v>
      </c>
      <c r="C314" s="6" t="s">
        <v>892</v>
      </c>
      <c r="D314" s="566" t="s">
        <v>171</v>
      </c>
    </row>
    <row r="315" spans="1:4" ht="12.75">
      <c r="A315" s="114" t="str">
        <f aca="true" t="shared" si="9" ref="A315:A361">IF($A$2=1,B315,IF($A$2=2,C315,IF($A$2=3,D315,"")))</f>
        <v>Concentrés</v>
      </c>
      <c r="B315" s="6" t="s">
        <v>165</v>
      </c>
      <c r="C315" s="6" t="s">
        <v>468</v>
      </c>
      <c r="D315" s="508" t="s">
        <v>819</v>
      </c>
    </row>
    <row r="316" spans="1:4" ht="12.75">
      <c r="A316" s="114" t="str">
        <f t="shared" si="9"/>
        <v>(A4+A7 en MS)</v>
      </c>
      <c r="B316" s="6" t="s">
        <v>1281</v>
      </c>
      <c r="C316" s="6" t="s">
        <v>0</v>
      </c>
      <c r="D316" s="508" t="s">
        <v>1</v>
      </c>
    </row>
    <row r="317" spans="1:4" ht="12.75">
      <c r="A317" s="114" t="str">
        <f t="shared" si="9"/>
        <v>UGBFG/ha herb.</v>
      </c>
      <c r="B317" s="6" t="s">
        <v>297</v>
      </c>
      <c r="C317" s="6" t="s">
        <v>82</v>
      </c>
      <c r="D317" s="508" t="s">
        <v>746</v>
      </c>
    </row>
    <row r="318" spans="1:4" ht="12.75">
      <c r="A318" s="114" t="str">
        <f t="shared" si="9"/>
        <v>Les cessions sont plus élevées que la production.</v>
      </c>
      <c r="B318" s="6" t="s">
        <v>867</v>
      </c>
      <c r="C318" s="550" t="s">
        <v>1182</v>
      </c>
      <c r="D318" s="487" t="s">
        <v>994</v>
      </c>
    </row>
    <row r="319" spans="1:4" ht="14.25">
      <c r="A319" s="114" t="str">
        <f t="shared" si="9"/>
        <v>Satisfaire l’exigence des parts dans la ration </v>
      </c>
      <c r="B319" s="6" t="s">
        <v>1011</v>
      </c>
      <c r="C319" s="487" t="s">
        <v>1127</v>
      </c>
      <c r="D319" s="114" t="s">
        <v>1112</v>
      </c>
    </row>
    <row r="320" spans="1:4" ht="12.75">
      <c r="A320" s="114" t="str">
        <f t="shared" si="9"/>
        <v>Charge minimale en bétail exigée pour obtenir 100 % des contributions PLVH (UGBFG/ha herb.) </v>
      </c>
      <c r="B320" s="6" t="s">
        <v>866</v>
      </c>
      <c r="C320" s="573" t="s">
        <v>993</v>
      </c>
      <c r="D320" s="487" t="s">
        <v>992</v>
      </c>
    </row>
    <row r="321" spans="1:4" ht="12.75">
      <c r="A321" s="114" t="str">
        <f t="shared" si="9"/>
        <v>oui</v>
      </c>
      <c r="B321" s="6" t="s">
        <v>14</v>
      </c>
      <c r="C321" s="6" t="s">
        <v>15</v>
      </c>
      <c r="D321" s="508" t="s">
        <v>550</v>
      </c>
    </row>
    <row r="322" spans="1:4" ht="12.75">
      <c r="A322" s="114" t="str">
        <f t="shared" si="9"/>
        <v>non</v>
      </c>
      <c r="B322" s="6" t="s">
        <v>16</v>
      </c>
      <c r="C322" s="6" t="s">
        <v>17</v>
      </c>
      <c r="D322" s="507" t="s">
        <v>551</v>
      </c>
    </row>
    <row r="323" spans="1:4" ht="12.75">
      <c r="A323" s="114" t="str">
        <f t="shared" si="9"/>
        <v>Le fournisseur du logiciel ou la vulgarisation agricole n'assument aucune responsabilité pour d'éventuels dommages découlant de l'utilisation du logiciel.</v>
      </c>
      <c r="B323" s="6" t="s">
        <v>480</v>
      </c>
      <c r="C323" s="6" t="s">
        <v>481</v>
      </c>
      <c r="D323" s="507" t="s">
        <v>818</v>
      </c>
    </row>
    <row r="324" spans="1:4" ht="12.75">
      <c r="A324" s="114" t="str">
        <f t="shared" si="9"/>
        <v>Cet instrument sert à prouver que les exigences du bilan fourrager sont remplies pour le programme PLVH.</v>
      </c>
      <c r="B324" s="6" t="s">
        <v>829</v>
      </c>
      <c r="C324" s="550" t="s">
        <v>1183</v>
      </c>
      <c r="D324" s="770" t="s">
        <v>991</v>
      </c>
    </row>
    <row r="325" spans="1:4" ht="12.75">
      <c r="A325" s="114" t="str">
        <f t="shared" si="9"/>
        <v>Lieu et date: </v>
      </c>
      <c r="B325" s="6" t="s">
        <v>23</v>
      </c>
      <c r="C325" s="6" t="s">
        <v>25</v>
      </c>
      <c r="D325" s="507" t="s">
        <v>747</v>
      </c>
    </row>
    <row r="326" spans="1:4" ht="12.75">
      <c r="A326" s="114" t="str">
        <f t="shared" si="9"/>
        <v>Signature: </v>
      </c>
      <c r="B326" s="6" t="s">
        <v>24</v>
      </c>
      <c r="C326" s="6" t="s">
        <v>26</v>
      </c>
      <c r="D326" s="507" t="s">
        <v>748</v>
      </c>
    </row>
    <row r="327" spans="1:4" ht="12.75">
      <c r="A327" s="114">
        <f t="shared" si="9"/>
        <v>0</v>
      </c>
      <c r="D327" s="507"/>
    </row>
    <row r="328" spans="1:4" s="113" customFormat="1" ht="12.75">
      <c r="A328" s="113" t="str">
        <f t="shared" si="9"/>
        <v>Bilan pour vache mère et veau</v>
      </c>
      <c r="B328" s="113" t="s">
        <v>718</v>
      </c>
      <c r="C328" s="113" t="s">
        <v>634</v>
      </c>
      <c r="D328" s="506" t="s">
        <v>635</v>
      </c>
    </row>
    <row r="329" spans="1:4" ht="12.75">
      <c r="A329" s="114" t="str">
        <f t="shared" si="9"/>
        <v>Total des</v>
      </c>
      <c r="B329" s="6" t="s">
        <v>299</v>
      </c>
      <c r="C329" s="6" t="s">
        <v>1197</v>
      </c>
      <c r="D329" s="508" t="s">
        <v>574</v>
      </c>
    </row>
    <row r="330" spans="1:4" ht="12.75">
      <c r="A330" s="114" t="str">
        <f t="shared" si="9"/>
        <v>besoins</v>
      </c>
      <c r="B330" s="6" t="s">
        <v>65</v>
      </c>
      <c r="C330" s="6" t="s">
        <v>1198</v>
      </c>
      <c r="D330" s="508" t="s">
        <v>742</v>
      </c>
    </row>
    <row r="331" spans="1:4" ht="12.75">
      <c r="A331" s="114" t="str">
        <f t="shared" si="9"/>
        <v>Four. prairies</v>
      </c>
      <c r="B331" s="6" t="s">
        <v>254</v>
      </c>
      <c r="C331" s="6" t="s">
        <v>479</v>
      </c>
      <c r="D331" s="508" t="s">
        <v>743</v>
      </c>
    </row>
    <row r="332" spans="1:4" ht="12.75">
      <c r="A332" s="114" t="str">
        <f t="shared" si="9"/>
        <v>et pâturages</v>
      </c>
      <c r="B332" s="6" t="s">
        <v>348</v>
      </c>
      <c r="C332" s="6" t="s">
        <v>466</v>
      </c>
      <c r="D332" s="508" t="s">
        <v>744</v>
      </c>
    </row>
    <row r="333" spans="1:4" ht="12.75">
      <c r="A333" s="114" t="str">
        <f t="shared" si="9"/>
        <v>Autres</v>
      </c>
      <c r="B333" s="6" t="s">
        <v>719</v>
      </c>
      <c r="C333" s="6" t="s">
        <v>467</v>
      </c>
      <c r="D333" s="508" t="s">
        <v>745</v>
      </c>
    </row>
    <row r="334" spans="1:4" ht="12.75">
      <c r="A334" s="114" t="str">
        <f t="shared" si="9"/>
        <v>fourrages total</v>
      </c>
      <c r="B334" s="6" t="s">
        <v>720</v>
      </c>
      <c r="C334" s="6" t="s">
        <v>892</v>
      </c>
      <c r="D334" s="566" t="s">
        <v>171</v>
      </c>
    </row>
    <row r="335" spans="1:4" ht="12.75">
      <c r="A335" s="114" t="str">
        <f t="shared" si="9"/>
        <v>Concentrés</v>
      </c>
      <c r="B335" s="6" t="s">
        <v>165</v>
      </c>
      <c r="C335" s="6" t="s">
        <v>468</v>
      </c>
      <c r="D335" s="508" t="s">
        <v>819</v>
      </c>
    </row>
    <row r="336" spans="1:4" ht="12.75">
      <c r="A336" s="114" t="str">
        <f t="shared" si="9"/>
        <v>Exigence pour vache mère &amp; veau</v>
      </c>
      <c r="B336" s="550" t="s">
        <v>722</v>
      </c>
      <c r="C336" s="550" t="s">
        <v>276</v>
      </c>
      <c r="D336" s="770" t="s">
        <v>808</v>
      </c>
    </row>
    <row r="337" spans="1:4" ht="12.75">
      <c r="A337" s="114" t="str">
        <f t="shared" si="9"/>
        <v>oui</v>
      </c>
      <c r="B337" s="6" t="s">
        <v>14</v>
      </c>
      <c r="C337" s="6" t="s">
        <v>15</v>
      </c>
      <c r="D337" s="508" t="s">
        <v>550</v>
      </c>
    </row>
    <row r="338" spans="1:4" ht="12.75">
      <c r="A338" s="114" t="str">
        <f t="shared" si="9"/>
        <v>non</v>
      </c>
      <c r="B338" s="6" t="s">
        <v>16</v>
      </c>
      <c r="C338" s="6" t="s">
        <v>17</v>
      </c>
      <c r="D338" s="507" t="s">
        <v>551</v>
      </c>
    </row>
    <row r="339" spans="1:4" ht="12.75">
      <c r="A339" s="114" t="str">
        <f t="shared" si="9"/>
        <v>bilan autres animaux consom.des f. grossiers</v>
      </c>
      <c r="B339" s="6" t="s">
        <v>278</v>
      </c>
      <c r="C339" s="6" t="s">
        <v>636</v>
      </c>
      <c r="D339" s="770" t="s">
        <v>929</v>
      </c>
    </row>
    <row r="340" spans="1:4" ht="12.75">
      <c r="A340" s="114" t="str">
        <f t="shared" si="9"/>
        <v>Saisie la partie "vache mère&amp;veau", aussi si "0"</v>
      </c>
      <c r="B340" s="6" t="s">
        <v>1144</v>
      </c>
      <c r="C340" s="6" t="s">
        <v>1145</v>
      </c>
      <c r="D340" s="770" t="s">
        <v>807</v>
      </c>
    </row>
    <row r="341" spans="1:4" ht="12.75">
      <c r="A341" s="114"/>
      <c r="D341" s="507"/>
    </row>
    <row r="342" spans="1:4" ht="12.75">
      <c r="A342" s="113" t="s">
        <v>772</v>
      </c>
      <c r="D342" s="507"/>
    </row>
    <row r="343" spans="1:4" s="113" customFormat="1" ht="12.75">
      <c r="A343" s="114" t="str">
        <f t="shared" si="9"/>
        <v>Normes animaux</v>
      </c>
      <c r="B343" s="113" t="s">
        <v>1190</v>
      </c>
      <c r="C343" s="113" t="s">
        <v>90</v>
      </c>
      <c r="D343" s="506" t="s">
        <v>752</v>
      </c>
    </row>
    <row r="344" spans="1:4" ht="12.75">
      <c r="A344" s="114" t="str">
        <f t="shared" si="9"/>
        <v>Catégorie d'animal</v>
      </c>
      <c r="B344" s="6" t="s">
        <v>55</v>
      </c>
      <c r="C344" s="6" t="s">
        <v>167</v>
      </c>
      <c r="D344" s="507" t="s">
        <v>753</v>
      </c>
    </row>
    <row r="345" spans="1:4" ht="12.75">
      <c r="A345" s="114" t="str">
        <f t="shared" si="9"/>
        <v>Unité</v>
      </c>
      <c r="B345" s="6" t="s">
        <v>73</v>
      </c>
      <c r="C345" s="6" t="s">
        <v>341</v>
      </c>
      <c r="D345" s="507" t="s">
        <v>553</v>
      </c>
    </row>
    <row r="346" spans="1:4" ht="12.75">
      <c r="A346" s="114" t="str">
        <f t="shared" si="9"/>
        <v>Consommation</v>
      </c>
      <c r="B346" s="6" t="s">
        <v>231</v>
      </c>
      <c r="C346" s="6" t="s">
        <v>166</v>
      </c>
      <c r="D346" s="507" t="s">
        <v>570</v>
      </c>
    </row>
    <row r="347" spans="1:4" ht="12.75">
      <c r="A347" s="114" t="str">
        <f t="shared" si="9"/>
        <v>de fourrage</v>
      </c>
      <c r="B347" s="6" t="s">
        <v>230</v>
      </c>
      <c r="C347" s="6" t="s">
        <v>91</v>
      </c>
      <c r="D347" s="507" t="s">
        <v>754</v>
      </c>
    </row>
    <row r="348" spans="1:4" ht="12.75">
      <c r="A348" s="114" t="str">
        <f t="shared" si="9"/>
        <v>MS/jour</v>
      </c>
      <c r="B348" s="6" t="s">
        <v>1191</v>
      </c>
      <c r="C348" s="6" t="s">
        <v>92</v>
      </c>
      <c r="D348" s="507" t="s">
        <v>755</v>
      </c>
    </row>
    <row r="349" spans="1:4" ht="12.75">
      <c r="A349" s="114" t="str">
        <f t="shared" si="9"/>
        <v>MS/an</v>
      </c>
      <c r="B349" s="6" t="s">
        <v>1192</v>
      </c>
      <c r="C349" s="6" t="s">
        <v>1195</v>
      </c>
      <c r="D349" s="507" t="s">
        <v>756</v>
      </c>
    </row>
    <row r="350" spans="1:4" ht="12.75">
      <c r="A350" s="114" t="str">
        <f t="shared" si="9"/>
        <v>Facteur</v>
      </c>
      <c r="B350" s="6" t="s">
        <v>127</v>
      </c>
      <c r="C350" s="6" t="s">
        <v>64</v>
      </c>
      <c r="D350" s="507" t="s">
        <v>757</v>
      </c>
    </row>
    <row r="351" spans="1:4" ht="12.75">
      <c r="A351" s="114" t="str">
        <f t="shared" si="9"/>
        <v>UGB</v>
      </c>
      <c r="B351" s="6" t="s">
        <v>1196</v>
      </c>
      <c r="C351" s="6" t="s">
        <v>128</v>
      </c>
      <c r="D351" s="507" t="s">
        <v>758</v>
      </c>
    </row>
    <row r="352" spans="1:4" ht="12.75">
      <c r="A352" s="114" t="str">
        <f t="shared" si="9"/>
        <v>unité</v>
      </c>
      <c r="B352" s="6" t="s">
        <v>73</v>
      </c>
      <c r="C352" s="6" t="s">
        <v>63</v>
      </c>
      <c r="D352" s="507" t="s">
        <v>553</v>
      </c>
    </row>
    <row r="353" spans="1:4" ht="12.75">
      <c r="A353" s="114" t="str">
        <f t="shared" si="9"/>
        <v>100 pl.</v>
      </c>
      <c r="B353" s="6" t="s">
        <v>264</v>
      </c>
      <c r="C353" s="6" t="s">
        <v>240</v>
      </c>
      <c r="D353" s="507" t="s">
        <v>759</v>
      </c>
    </row>
    <row r="354" spans="1:4" ht="12.75">
      <c r="A354" s="114" t="str">
        <f t="shared" si="9"/>
        <v>1 bête</v>
      </c>
      <c r="B354" s="6" t="s">
        <v>235</v>
      </c>
      <c r="C354" s="6" t="s">
        <v>233</v>
      </c>
      <c r="D354" s="507" t="s">
        <v>760</v>
      </c>
    </row>
    <row r="355" spans="1:4" ht="12.75">
      <c r="A355" s="114" t="str">
        <f t="shared" si="9"/>
        <v>1 place</v>
      </c>
      <c r="B355" s="6" t="s">
        <v>236</v>
      </c>
      <c r="C355" s="6" t="s">
        <v>234</v>
      </c>
      <c r="D355" s="507" t="s">
        <v>761</v>
      </c>
    </row>
    <row r="356" spans="1:4" ht="12.75">
      <c r="A356" s="114" t="str">
        <f t="shared" si="9"/>
        <v>valeur limite</v>
      </c>
      <c r="B356" s="6" t="s">
        <v>373</v>
      </c>
      <c r="C356" s="6" t="s">
        <v>377</v>
      </c>
      <c r="D356" s="771" t="s">
        <v>817</v>
      </c>
    </row>
    <row r="357" spans="1:4" ht="12.75">
      <c r="A357" s="114" t="str">
        <f t="shared" si="9"/>
        <v>plaine</v>
      </c>
      <c r="B357" s="6" t="s">
        <v>375</v>
      </c>
      <c r="C357" s="6" t="s">
        <v>378</v>
      </c>
      <c r="D357" s="771" t="s">
        <v>816</v>
      </c>
    </row>
    <row r="358" spans="1:4" ht="12.75">
      <c r="A358" s="114" t="str">
        <f t="shared" si="9"/>
        <v>région de montagne</v>
      </c>
      <c r="B358" s="6" t="s">
        <v>376</v>
      </c>
      <c r="C358" s="6" t="s">
        <v>379</v>
      </c>
      <c r="D358" s="771" t="s">
        <v>815</v>
      </c>
    </row>
    <row r="359" spans="1:4" ht="12.75">
      <c r="A359" s="114" t="str">
        <f t="shared" si="9"/>
        <v>rouge = ne pas accompli</v>
      </c>
      <c r="B359" s="6" t="s">
        <v>374</v>
      </c>
      <c r="C359" s="6" t="s">
        <v>380</v>
      </c>
      <c r="D359" s="771" t="s">
        <v>814</v>
      </c>
    </row>
    <row r="360" spans="1:4" ht="12.75">
      <c r="A360" s="114" t="str">
        <f t="shared" si="9"/>
        <v>La région n'a pas été saisie.</v>
      </c>
      <c r="B360" s="6" t="s">
        <v>830</v>
      </c>
      <c r="C360" s="550" t="s">
        <v>1184</v>
      </c>
      <c r="D360" s="487" t="s">
        <v>995</v>
      </c>
    </row>
    <row r="361" spans="1:4" ht="12.75">
      <c r="A361" s="114" t="str">
        <f t="shared" si="9"/>
        <v>Autres fourrages</v>
      </c>
      <c r="B361" s="6" t="s">
        <v>35</v>
      </c>
      <c r="C361" s="550" t="s">
        <v>36</v>
      </c>
      <c r="D361" s="487" t="s">
        <v>37</v>
      </c>
    </row>
    <row r="362" ht="12.75">
      <c r="D362" s="487"/>
    </row>
    <row r="363" spans="1:4" ht="12.75">
      <c r="A363" s="113" t="s">
        <v>996</v>
      </c>
      <c r="D363" s="770"/>
    </row>
    <row r="364" spans="1:4" ht="12.75">
      <c r="A364" s="114" t="str">
        <f aca="true" t="shared" si="10" ref="A364:A369">IF($A$2=1,B364,IF($A$2=2,C364,IF($A$2=3,D364,"")))</f>
        <v>Informations complémentaires</v>
      </c>
      <c r="B364" s="114" t="s">
        <v>1010</v>
      </c>
      <c r="C364" s="487" t="s">
        <v>1017</v>
      </c>
      <c r="D364" s="114" t="s">
        <v>901</v>
      </c>
    </row>
    <row r="365" spans="1:4" ht="12.75">
      <c r="A365" s="114" t="str">
        <f t="shared" si="10"/>
        <v>Le calcul de la charge effective en bétail pour le bilan fourrager 2016 s’appuie sur les effectifs déterminants</v>
      </c>
      <c r="B365" s="166" t="s">
        <v>561</v>
      </c>
      <c r="C365" s="487" t="s">
        <v>562</v>
      </c>
      <c r="D365" s="114" t="s">
        <v>563</v>
      </c>
    </row>
    <row r="366" spans="1:4" ht="12.75">
      <c r="A366" s="114" t="str">
        <f t="shared" si="10"/>
        <v>d’animaux pour la période 1.1.2016 – 31.12.2016. Comme ces derniers ne sont pas encore connus, le montant</v>
      </c>
      <c r="B366" s="6" t="s">
        <v>559</v>
      </c>
      <c r="C366" s="487" t="s">
        <v>560</v>
      </c>
      <c r="D366" s="114" t="s">
        <v>564</v>
      </c>
    </row>
    <row r="367" spans="1:4" ht="12.75">
      <c r="A367" s="114" t="str">
        <f t="shared" si="10"/>
        <v>des contributions PLVH est à considérer comme une estimation.  </v>
      </c>
      <c r="B367" s="6" t="s">
        <v>1024</v>
      </c>
      <c r="C367" s="487" t="s">
        <v>1023</v>
      </c>
      <c r="D367" s="114" t="s">
        <v>911</v>
      </c>
    </row>
    <row r="368" spans="1:4" ht="12.75">
      <c r="A368" s="114" t="str">
        <f t="shared" si="10"/>
        <v>UGBFG totaux de l'exploitation</v>
      </c>
      <c r="B368" s="574" t="s">
        <v>1130</v>
      </c>
      <c r="C368" s="574" t="s">
        <v>997</v>
      </c>
      <c r="D368" s="574" t="s">
        <v>998</v>
      </c>
    </row>
    <row r="369" spans="1:4" ht="12.75">
      <c r="A369" s="114" t="str">
        <f t="shared" si="10"/>
        <v>Charge en bétail effective (UGBFG/ha herb.)</v>
      </c>
      <c r="B369" s="114" t="s">
        <v>999</v>
      </c>
      <c r="C369" s="114" t="s">
        <v>1000</v>
      </c>
      <c r="D369" s="114" t="s">
        <v>1001</v>
      </c>
    </row>
    <row r="370" spans="1:4" ht="12.75">
      <c r="A370" s="114" t="str">
        <f aca="true" t="shared" si="11" ref="A370:A384">IF($A$2=1,B370,IF($A$2=2,C370,IF($A$2=3,D370,"")))</f>
        <v>Exigence de la part … dans la ration satisfaite </v>
      </c>
      <c r="B370" s="114" t="s">
        <v>1131</v>
      </c>
      <c r="C370" s="487" t="s">
        <v>1016</v>
      </c>
      <c r="D370" s="114" t="s">
        <v>902</v>
      </c>
    </row>
    <row r="371" spans="1:4" ht="12.75">
      <c r="A371" s="114" t="str">
        <f t="shared" si="11"/>
        <v>  - fourrages prairies et pâturages</v>
      </c>
      <c r="B371" s="114" t="s">
        <v>1132</v>
      </c>
      <c r="C371" s="487" t="s">
        <v>1135</v>
      </c>
      <c r="D371" s="114" t="s">
        <v>903</v>
      </c>
    </row>
    <row r="372" spans="1:4" ht="12.75">
      <c r="A372" s="114" t="str">
        <f t="shared" si="11"/>
        <v>  - autres fourrages</v>
      </c>
      <c r="B372" s="114" t="s">
        <v>1133</v>
      </c>
      <c r="C372" s="487" t="s">
        <v>1136</v>
      </c>
      <c r="D372" s="114" t="s">
        <v>904</v>
      </c>
    </row>
    <row r="373" spans="1:4" ht="12.75">
      <c r="A373" s="114" t="str">
        <f t="shared" si="11"/>
        <v>  - concentrés</v>
      </c>
      <c r="B373" s="114" t="s">
        <v>1134</v>
      </c>
      <c r="C373" s="487" t="s">
        <v>1137</v>
      </c>
      <c r="D373" s="114" t="s">
        <v>905</v>
      </c>
    </row>
    <row r="374" spans="1:4" ht="12.75">
      <c r="A374" s="114" t="str">
        <f t="shared" si="11"/>
        <v>Exigence de la charge min. pour</v>
      </c>
      <c r="B374" s="114" t="s">
        <v>1002</v>
      </c>
      <c r="C374" s="487" t="s">
        <v>1003</v>
      </c>
      <c r="D374" s="114" t="s">
        <v>1004</v>
      </c>
    </row>
    <row r="375" spans="1:4" ht="12.75">
      <c r="A375" s="114" t="str">
        <f t="shared" si="11"/>
        <v>% des contributions PLVH </v>
      </c>
      <c r="B375" s="114" t="s">
        <v>1140</v>
      </c>
      <c r="C375" s="487" t="s">
        <v>1152</v>
      </c>
      <c r="D375" s="114" t="s">
        <v>1005</v>
      </c>
    </row>
    <row r="376" spans="1:4" ht="12.75">
      <c r="A376" s="114" t="str">
        <f t="shared" si="11"/>
        <v>qui correspond à</v>
      </c>
      <c r="B376" s="114" t="s">
        <v>1139</v>
      </c>
      <c r="C376" s="487" t="s">
        <v>1018</v>
      </c>
      <c r="D376" s="114" t="s">
        <v>906</v>
      </c>
    </row>
    <row r="377" spans="1:4" ht="12.75">
      <c r="A377" s="114" t="str">
        <f t="shared" si="11"/>
        <v>Vous obtenez des contributions PLVH</v>
      </c>
      <c r="B377" s="114" t="s">
        <v>1148</v>
      </c>
      <c r="C377" s="487" t="s">
        <v>1019</v>
      </c>
      <c r="D377" s="114" t="s">
        <v>907</v>
      </c>
    </row>
    <row r="378" spans="1:4" ht="12.75">
      <c r="A378" s="114" t="str">
        <f t="shared" si="11"/>
        <v>partielles</v>
      </c>
      <c r="B378" s="114" t="s">
        <v>1006</v>
      </c>
      <c r="C378" s="487" t="s">
        <v>1128</v>
      </c>
      <c r="D378" s="114" t="s">
        <v>1007</v>
      </c>
    </row>
    <row r="379" spans="1:4" ht="12.75">
      <c r="A379" s="114" t="str">
        <f t="shared" si="11"/>
        <v>complètes</v>
      </c>
      <c r="B379" s="114" t="s">
        <v>1008</v>
      </c>
      <c r="C379" s="487" t="s">
        <v>1129</v>
      </c>
      <c r="D379" s="114" t="s">
        <v>1009</v>
      </c>
    </row>
    <row r="380" spans="1:4" ht="12.75">
      <c r="A380" s="114" t="str">
        <f t="shared" si="11"/>
        <v>non</v>
      </c>
      <c r="B380" s="570" t="s">
        <v>16</v>
      </c>
      <c r="C380" s="487" t="s">
        <v>17</v>
      </c>
      <c r="D380" s="585" t="s">
        <v>551</v>
      </c>
    </row>
    <row r="381" spans="1:4" ht="12.75">
      <c r="A381" s="114" t="str">
        <f t="shared" si="11"/>
        <v>oui</v>
      </c>
      <c r="B381" s="114" t="s">
        <v>14</v>
      </c>
      <c r="C381" s="487" t="s">
        <v>15</v>
      </c>
      <c r="D381" s="114" t="s">
        <v>1138</v>
      </c>
    </row>
    <row r="382" spans="1:4" ht="12.75">
      <c r="A382" s="114" t="str">
        <f t="shared" si="11"/>
        <v>Vos contributions ne peuvent pas être calculées</v>
      </c>
      <c r="B382" s="114" t="s">
        <v>1151</v>
      </c>
      <c r="C382" s="487" t="s">
        <v>1020</v>
      </c>
      <c r="D382" s="114" t="s">
        <v>908</v>
      </c>
    </row>
    <row r="383" spans="1:4" ht="12.75">
      <c r="A383" s="114" t="str">
        <f t="shared" si="11"/>
        <v>Saississez svp le nombre d'UGBFG totaux de votre exploitation</v>
      </c>
      <c r="B383" s="114" t="s">
        <v>1150</v>
      </c>
      <c r="C383" s="487" t="s">
        <v>1021</v>
      </c>
      <c r="D383" s="114" t="s">
        <v>909</v>
      </c>
    </row>
    <row r="384" spans="1:4" ht="12.75">
      <c r="A384" s="114" t="str">
        <f t="shared" si="11"/>
        <v>Vous n'obtenez AUCUNE contribution</v>
      </c>
      <c r="B384" s="114" t="s">
        <v>1149</v>
      </c>
      <c r="C384" s="487" t="s">
        <v>1022</v>
      </c>
      <c r="D384" s="114" t="s">
        <v>910</v>
      </c>
    </row>
    <row r="385" spans="1:4" ht="14.25">
      <c r="A385" s="114" t="str">
        <f>IF($A$2=1,B385,IF($A$2=2,C385,IF($A$2=3,D385,"")))</f>
        <v>Exigence des parts (herbes, concentrés) dans la ration satisfaite </v>
      </c>
      <c r="B385" s="114" t="s">
        <v>1012</v>
      </c>
      <c r="C385" s="575" t="s">
        <v>1013</v>
      </c>
      <c r="D385" s="566" t="s">
        <v>1014</v>
      </c>
    </row>
    <row r="386" ht="12.75">
      <c r="D386" s="770"/>
    </row>
    <row r="387" spans="1:4" ht="12.75">
      <c r="A387" s="113" t="s">
        <v>1123</v>
      </c>
      <c r="D387" s="770"/>
    </row>
    <row r="388" spans="1:4" ht="12.75">
      <c r="A388" s="114" t="str">
        <f aca="true" t="shared" si="12" ref="A388:A424">IF($A$2=1,B388,IF($A$2=2,C388,IF($A$2=3,D388,"")))</f>
        <v>Adaptation de son système de production</v>
      </c>
      <c r="B388" s="6" t="s">
        <v>1026</v>
      </c>
      <c r="C388" s="6" t="s">
        <v>1027</v>
      </c>
      <c r="D388" s="770"/>
    </row>
    <row r="389" spans="1:4" ht="12.75">
      <c r="A389" s="114" t="str">
        <f t="shared" si="12"/>
        <v>pour répondre aux exigences PLVH</v>
      </c>
      <c r="B389" s="6" t="s">
        <v>1028</v>
      </c>
      <c r="C389" s="6" t="s">
        <v>1029</v>
      </c>
      <c r="D389" s="770"/>
    </row>
    <row r="390" spans="1:4" ht="12.75">
      <c r="A390" s="114" t="str">
        <f t="shared" si="12"/>
        <v>Attention: saisir d'abord la feuille "Bilanz-bilan", car plusieurs chiffres sont reprises de ce tableur.</v>
      </c>
      <c r="B390" s="6" t="s">
        <v>1030</v>
      </c>
      <c r="C390" s="6" t="s">
        <v>1031</v>
      </c>
      <c r="D390" s="770"/>
    </row>
    <row r="391" spans="1:4" ht="12.75">
      <c r="A391" s="114" t="str">
        <f t="shared" si="12"/>
        <v>Explications</v>
      </c>
      <c r="B391" s="6" t="s">
        <v>1032</v>
      </c>
      <c r="C391" s="6" t="s">
        <v>1033</v>
      </c>
      <c r="D391" s="770"/>
    </row>
    <row r="392" spans="1:4" ht="12.75">
      <c r="A392" s="114" t="str">
        <f t="shared" si="12"/>
        <v>Si l'exigence de la part minimale en concentrés dans la ration n'est pas remplie, la réduction des concentrés est une option.</v>
      </c>
      <c r="B392" s="6" t="s">
        <v>1034</v>
      </c>
      <c r="C392" s="6" t="s">
        <v>1035</v>
      </c>
      <c r="D392" s="770"/>
    </row>
    <row r="393" spans="1:4" ht="12.75">
      <c r="A393" s="114" t="str">
        <f t="shared" si="12"/>
        <v>Cette feuille donne un aperçu du solde financier en cas de réorientation de son système de production laitière. </v>
      </c>
      <c r="B393" s="6" t="s">
        <v>1036</v>
      </c>
      <c r="C393" s="6" t="s">
        <v>1037</v>
      </c>
      <c r="D393" s="770"/>
    </row>
    <row r="394" spans="1:4" ht="12.75">
      <c r="A394" s="114" t="str">
        <f t="shared" si="12"/>
        <v>Vérifiez à l'aide de la feuille "bilan" si la réduction supposée (partie A) répond</v>
      </c>
      <c r="B394" s="6" t="s">
        <v>1038</v>
      </c>
      <c r="C394" s="6" t="s">
        <v>1039</v>
      </c>
      <c r="D394" s="770"/>
    </row>
    <row r="395" spans="1:4" ht="12.75">
      <c r="A395" s="114" t="str">
        <f t="shared" si="12"/>
        <v>à l'exigence minimale de 10% (partie D). </v>
      </c>
      <c r="B395" s="6" t="s">
        <v>1040</v>
      </c>
      <c r="C395" s="6" t="s">
        <v>1041</v>
      </c>
      <c r="D395" s="770"/>
    </row>
    <row r="396" spans="1:4" ht="12.75">
      <c r="A396" s="114" t="str">
        <f t="shared" si="12"/>
        <v>Production laitière</v>
      </c>
      <c r="B396" s="6" t="s">
        <v>1042</v>
      </c>
      <c r="C396" s="6" t="s">
        <v>1043</v>
      </c>
      <c r="D396" s="770"/>
    </row>
    <row r="397" spans="1:4" ht="12.75">
      <c r="A397" s="114" t="str">
        <f t="shared" si="12"/>
        <v>Moyenne actuelle du troupeau</v>
      </c>
      <c r="B397" s="6" t="s">
        <v>1044</v>
      </c>
      <c r="C397" s="6" t="s">
        <v>1045</v>
      </c>
      <c r="D397" s="770"/>
    </row>
    <row r="398" spans="1:4" ht="12.75">
      <c r="A398" s="114" t="str">
        <f t="shared" si="12"/>
        <v>Production attendue dans le nouveau système</v>
      </c>
      <c r="B398" s="6" t="s">
        <v>1046</v>
      </c>
      <c r="C398" s="6" t="s">
        <v>1047</v>
      </c>
      <c r="D398" s="770"/>
    </row>
    <row r="399" spans="1:4" ht="12.75">
      <c r="A399" s="114" t="str">
        <f t="shared" si="12"/>
        <v>Nombre de vaches</v>
      </c>
      <c r="B399" s="6" t="s">
        <v>1048</v>
      </c>
      <c r="C399" s="6" t="s">
        <v>1049</v>
      </c>
      <c r="D399" s="770"/>
    </row>
    <row r="400" spans="1:4" ht="12.75">
      <c r="A400" s="114" t="str">
        <f t="shared" si="12"/>
        <v>Conséquences sur les volumes</v>
      </c>
      <c r="B400" s="6" t="s">
        <v>1050</v>
      </c>
      <c r="C400" s="6" t="s">
        <v>1051</v>
      </c>
      <c r="D400" s="770"/>
    </row>
    <row r="401" spans="1:4" ht="12.75">
      <c r="A401" s="114" t="str">
        <f t="shared" si="12"/>
        <v>Diminution totale du volume de lait produit</v>
      </c>
      <c r="B401" s="6" t="s">
        <v>1052</v>
      </c>
      <c r="C401" s="6" t="s">
        <v>1053</v>
      </c>
      <c r="D401" s="770"/>
    </row>
    <row r="402" spans="1:4" ht="12.75">
      <c r="A402" s="114" t="str">
        <f t="shared" si="12"/>
        <v>Economie de concentrés par vache</v>
      </c>
      <c r="B402" s="6" t="s">
        <v>1054</v>
      </c>
      <c r="C402" s="6" t="s">
        <v>1055</v>
      </c>
      <c r="D402" s="770"/>
    </row>
    <row r="403" spans="1:4" ht="12.75">
      <c r="A403" s="114" t="str">
        <f t="shared" si="12"/>
        <v>Conséquences financières</v>
      </c>
      <c r="B403" s="6" t="s">
        <v>1056</v>
      </c>
      <c r="C403" s="6" t="s">
        <v>1057</v>
      </c>
      <c r="D403" s="770"/>
    </row>
    <row r="404" spans="1:4" ht="12.75">
      <c r="A404" s="114" t="str">
        <f t="shared" si="12"/>
        <v>Perte totale en lait</v>
      </c>
      <c r="B404" s="6" t="s">
        <v>1058</v>
      </c>
      <c r="C404" s="6" t="s">
        <v>1059</v>
      </c>
      <c r="D404" s="770"/>
    </row>
    <row r="405" spans="1:4" ht="12.75">
      <c r="A405" s="114" t="str">
        <f t="shared" si="12"/>
        <v>Economie de concentrés</v>
      </c>
      <c r="B405" s="6" t="s">
        <v>1064</v>
      </c>
      <c r="C405" s="6" t="s">
        <v>1065</v>
      </c>
      <c r="D405" s="770"/>
    </row>
    <row r="406" spans="1:4" ht="12.75">
      <c r="A406" s="114" t="str">
        <f t="shared" si="12"/>
        <v>Contributions supplémentaires PLVH</v>
      </c>
      <c r="B406" s="6" t="s">
        <v>1066</v>
      </c>
      <c r="C406" s="6" t="s">
        <v>1067</v>
      </c>
      <c r="D406" s="770"/>
    </row>
    <row r="407" spans="1:4" ht="12.75">
      <c r="A407" s="114" t="str">
        <f t="shared" si="12"/>
        <v>Solde</v>
      </c>
      <c r="B407" s="6" t="s">
        <v>84</v>
      </c>
      <c r="C407" s="6" t="s">
        <v>1068</v>
      </c>
      <c r="D407" s="770"/>
    </row>
    <row r="408" spans="1:4" ht="12.75">
      <c r="A408" s="114" t="str">
        <f t="shared" si="12"/>
        <v>kg lait/vache</v>
      </c>
      <c r="B408" s="6" t="s">
        <v>1069</v>
      </c>
      <c r="C408" s="6" t="s">
        <v>1070</v>
      </c>
      <c r="D408" s="770"/>
    </row>
    <row r="409" spans="1:4" ht="12.75">
      <c r="A409" s="114" t="str">
        <f t="shared" si="12"/>
        <v>vaches</v>
      </c>
      <c r="B409" s="6" t="s">
        <v>1071</v>
      </c>
      <c r="C409" s="6" t="s">
        <v>1072</v>
      </c>
      <c r="D409" s="770"/>
    </row>
    <row r="410" spans="1:4" ht="12.75">
      <c r="A410" s="114" t="str">
        <f t="shared" si="12"/>
        <v>kg lait</v>
      </c>
      <c r="B410" s="6" t="s">
        <v>1073</v>
      </c>
      <c r="C410" s="6" t="s">
        <v>1074</v>
      </c>
      <c r="D410" s="770"/>
    </row>
    <row r="411" spans="1:4" ht="12.75">
      <c r="A411" s="114" t="str">
        <f t="shared" si="12"/>
        <v>kg conc./vache</v>
      </c>
      <c r="B411" s="6" t="s">
        <v>1075</v>
      </c>
      <c r="C411" s="6" t="s">
        <v>1076</v>
      </c>
      <c r="D411" s="770"/>
    </row>
    <row r="412" spans="1:4" ht="12.75">
      <c r="A412" s="114" t="str">
        <f t="shared" si="12"/>
        <v>Frs</v>
      </c>
      <c r="B412" s="6" t="s">
        <v>1077</v>
      </c>
      <c r="C412" s="6" t="s">
        <v>1078</v>
      </c>
      <c r="D412" s="770"/>
    </row>
    <row r="413" spans="1:4" ht="12.75">
      <c r="A413" s="114" t="str">
        <f t="shared" si="12"/>
        <v>cts/kg</v>
      </c>
      <c r="B413" s="6" t="s">
        <v>1079</v>
      </c>
      <c r="C413" s="6" t="s">
        <v>1080</v>
      </c>
      <c r="D413" s="770"/>
    </row>
    <row r="414" spans="1:4" ht="12.75">
      <c r="A414" s="114" t="str">
        <f t="shared" si="12"/>
        <v>Frs/dt</v>
      </c>
      <c r="B414" s="6" t="s">
        <v>1081</v>
      </c>
      <c r="C414" s="6" t="s">
        <v>1082</v>
      </c>
      <c r="D414" s="770"/>
    </row>
    <row r="415" spans="1:4" ht="12.75">
      <c r="A415" s="114" t="str">
        <f t="shared" si="12"/>
        <v>Frs/ha</v>
      </c>
      <c r="B415" s="6" t="s">
        <v>1083</v>
      </c>
      <c r="C415" s="6" t="s">
        <v>1084</v>
      </c>
      <c r="D415" s="770"/>
    </row>
    <row r="416" spans="1:4" ht="12.75">
      <c r="A416" s="114" t="str">
        <f t="shared" si="12"/>
        <v>lire l'explication*</v>
      </c>
      <c r="B416" s="6" t="s">
        <v>1085</v>
      </c>
      <c r="C416" s="6" t="s">
        <v>1086</v>
      </c>
      <c r="D416" s="770"/>
    </row>
    <row r="417" spans="1:4" ht="12.75">
      <c r="A417" s="114" t="str">
        <f t="shared" si="12"/>
        <v>Prix</v>
      </c>
      <c r="B417" s="594" t="s">
        <v>1087</v>
      </c>
      <c r="C417" s="594" t="s">
        <v>1088</v>
      </c>
      <c r="D417" s="770"/>
    </row>
    <row r="418" spans="1:4" ht="12.75">
      <c r="A418" s="114" t="str">
        <f t="shared" si="12"/>
        <v>Réduction des concentrés</v>
      </c>
      <c r="B418" s="6" t="s">
        <v>1089</v>
      </c>
      <c r="C418" s="6" t="s">
        <v>1090</v>
      </c>
      <c r="D418" s="770"/>
    </row>
    <row r="419" spans="1:4" ht="12.75">
      <c r="A419" s="114" t="str">
        <f t="shared" si="12"/>
        <v>Quantité de concentrés économisée = différence de production laitière en moins divisée par le PPL des concentrés.</v>
      </c>
      <c r="B419" s="6" t="s">
        <v>1091</v>
      </c>
      <c r="C419" s="6" t="s">
        <v>1092</v>
      </c>
      <c r="D419" s="770"/>
    </row>
    <row r="420" spans="1:4" ht="12.75">
      <c r="A420" s="114" t="str">
        <f t="shared" si="12"/>
        <v>Supposition pour le potentiel de production laitière = 2 kg lait par kg de concentrés*</v>
      </c>
      <c r="B420" s="6" t="s">
        <v>1093</v>
      </c>
      <c r="C420" s="6" t="s">
        <v>1094</v>
      </c>
      <c r="D420" s="770"/>
    </row>
    <row r="421" spans="1:4" ht="12.75">
      <c r="A421" s="114" t="str">
        <f t="shared" si="12"/>
        <v>Exemple</v>
      </c>
      <c r="B421" s="6" t="s">
        <v>1095</v>
      </c>
      <c r="C421" s="6" t="s">
        <v>1096</v>
      </c>
      <c r="D421" s="770"/>
    </row>
    <row r="422" spans="1:4" ht="12.75">
      <c r="A422" s="114" t="str">
        <f t="shared" si="12"/>
        <v>500 kg de diminution de production laitière / 2 (PPL concentrés) = 250 kg de concentrés économisés</v>
      </c>
      <c r="B422" s="6" t="s">
        <v>1097</v>
      </c>
      <c r="C422" s="6" t="s">
        <v>1098</v>
      </c>
      <c r="D422" s="770"/>
    </row>
    <row r="423" spans="1:4" ht="12.75">
      <c r="A423" s="114" t="str">
        <f t="shared" si="12"/>
        <v>*Explication: la différence effective de production laitière par kg de concentrés incorporés ou économisés</v>
      </c>
      <c r="B423" s="6" t="s">
        <v>1099</v>
      </c>
      <c r="C423" s="6" t="s">
        <v>1100</v>
      </c>
      <c r="D423" s="770"/>
    </row>
    <row r="424" spans="1:4" ht="12.75">
      <c r="A424" s="114" t="str">
        <f t="shared" si="12"/>
        <v>peut varier d'environ 1 à 3 selon la composition de la ration.</v>
      </c>
      <c r="B424" s="6" t="s">
        <v>1101</v>
      </c>
      <c r="C424" s="6" t="s">
        <v>1102</v>
      </c>
      <c r="D424" s="770"/>
    </row>
  </sheetData>
  <sheetProtection sheet="1" objects="1" scenarios="1"/>
  <conditionalFormatting sqref="D368">
    <cfRule type="expression" priority="1" dxfId="5" stopIfTrue="1">
      <formula>ISBLANK(D368)</formula>
    </cfRule>
    <cfRule type="cellIs" priority="2" dxfId="5" operator="equal" stopIfTrue="1">
      <formula>$C368</formula>
    </cfRule>
  </conditionalFormatting>
  <printOptions headings="1"/>
  <pageMargins left="0.75" right="0.75" top="1" bottom="1" header="0.4921259845" footer="0.4921259845"/>
  <pageSetup horizontalDpi="600" verticalDpi="600" orientation="portrait" paperSize="9" r:id="rId1"/>
  <headerFooter alignWithMargins="0">
    <oddFooter>&amp;L&amp;"Arial,Fett"&amp;11AGRIDEA &amp;"Arial,Standard"&amp;9 Nachweis Version 8.8&amp;R&amp;"Arial,Standard"&amp;9Seite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1:H51"/>
  <sheetViews>
    <sheetView workbookViewId="0" topLeftCell="A1">
      <selection activeCell="A1" sqref="A1"/>
    </sheetView>
  </sheetViews>
  <sheetFormatPr defaultColWidth="11.421875" defaultRowHeight="12.75"/>
  <cols>
    <col min="3" max="3" width="36.140625" style="0" customWidth="1"/>
    <col min="4" max="4" width="36.57421875" style="0" customWidth="1"/>
  </cols>
  <sheetData>
    <row r="1" ht="12.75">
      <c r="A1" s="502" t="s">
        <v>488</v>
      </c>
    </row>
    <row r="2" spans="1:7" ht="12.75">
      <c r="A2" s="502" t="s">
        <v>507</v>
      </c>
      <c r="B2" s="502" t="s">
        <v>489</v>
      </c>
      <c r="C2" s="502" t="s">
        <v>490</v>
      </c>
      <c r="D2" s="502" t="s">
        <v>491</v>
      </c>
      <c r="E2" s="502" t="s">
        <v>492</v>
      </c>
      <c r="F2" s="502" t="s">
        <v>506</v>
      </c>
      <c r="G2" s="502" t="s">
        <v>508</v>
      </c>
    </row>
    <row r="3" spans="1:7" ht="12.75">
      <c r="A3" t="s">
        <v>486</v>
      </c>
      <c r="B3" t="s">
        <v>84</v>
      </c>
      <c r="C3" t="s">
        <v>493</v>
      </c>
      <c r="D3" t="s">
        <v>494</v>
      </c>
      <c r="E3" s="501">
        <v>41386</v>
      </c>
      <c r="F3" t="s">
        <v>502</v>
      </c>
      <c r="G3" t="s">
        <v>509</v>
      </c>
    </row>
    <row r="4" spans="1:7" ht="12.75">
      <c r="A4" t="s">
        <v>486</v>
      </c>
      <c r="B4" t="s">
        <v>84</v>
      </c>
      <c r="C4" t="s">
        <v>499</v>
      </c>
      <c r="D4" t="s">
        <v>501</v>
      </c>
      <c r="E4" s="501">
        <v>41386</v>
      </c>
      <c r="F4" t="s">
        <v>502</v>
      </c>
      <c r="G4" t="s">
        <v>509</v>
      </c>
    </row>
    <row r="5" spans="1:7" ht="12.75">
      <c r="A5" t="s">
        <v>486</v>
      </c>
      <c r="B5" t="s">
        <v>84</v>
      </c>
      <c r="C5" t="s">
        <v>500</v>
      </c>
      <c r="D5" t="s">
        <v>495</v>
      </c>
      <c r="E5" s="501">
        <v>41386</v>
      </c>
      <c r="F5" t="s">
        <v>502</v>
      </c>
      <c r="G5" t="s">
        <v>509</v>
      </c>
    </row>
    <row r="6" spans="1:7" ht="12.75">
      <c r="A6" t="s">
        <v>486</v>
      </c>
      <c r="B6" t="s">
        <v>498</v>
      </c>
      <c r="C6" t="s">
        <v>496</v>
      </c>
      <c r="D6" t="s">
        <v>497</v>
      </c>
      <c r="E6" s="501">
        <v>41386</v>
      </c>
      <c r="F6" t="s">
        <v>502</v>
      </c>
      <c r="G6" t="s">
        <v>509</v>
      </c>
    </row>
    <row r="7" spans="1:7" ht="12.75">
      <c r="A7" t="s">
        <v>509</v>
      </c>
      <c r="B7" t="s">
        <v>772</v>
      </c>
      <c r="C7" t="s">
        <v>773</v>
      </c>
      <c r="D7" t="s">
        <v>774</v>
      </c>
      <c r="E7" s="501">
        <v>41387</v>
      </c>
      <c r="F7" t="s">
        <v>502</v>
      </c>
      <c r="G7" t="s">
        <v>509</v>
      </c>
    </row>
    <row r="8" spans="1:7" ht="12.75">
      <c r="A8" t="s">
        <v>509</v>
      </c>
      <c r="B8" t="s">
        <v>498</v>
      </c>
      <c r="D8" t="s">
        <v>775</v>
      </c>
      <c r="E8" s="501">
        <v>41387</v>
      </c>
      <c r="F8" t="s">
        <v>502</v>
      </c>
      <c r="G8" t="s">
        <v>509</v>
      </c>
    </row>
    <row r="9" spans="1:7" ht="63.75">
      <c r="A9" t="s">
        <v>820</v>
      </c>
      <c r="B9" t="s">
        <v>84</v>
      </c>
      <c r="C9" t="s">
        <v>821</v>
      </c>
      <c r="D9" s="509" t="s">
        <v>822</v>
      </c>
      <c r="E9" s="501">
        <v>41478</v>
      </c>
      <c r="F9" t="s">
        <v>502</v>
      </c>
      <c r="G9" t="s">
        <v>820</v>
      </c>
    </row>
    <row r="10" spans="1:7" ht="12.75">
      <c r="A10" t="s">
        <v>823</v>
      </c>
      <c r="B10" t="s">
        <v>84</v>
      </c>
      <c r="C10" t="s">
        <v>824</v>
      </c>
      <c r="D10" t="s">
        <v>825</v>
      </c>
      <c r="E10" s="501">
        <v>41512</v>
      </c>
      <c r="F10" t="s">
        <v>502</v>
      </c>
      <c r="G10" t="s">
        <v>823</v>
      </c>
    </row>
    <row r="11" spans="1:7" ht="12.75">
      <c r="A11" t="s">
        <v>863</v>
      </c>
      <c r="B11" t="s">
        <v>84</v>
      </c>
      <c r="C11" t="s">
        <v>864</v>
      </c>
      <c r="D11" t="s">
        <v>865</v>
      </c>
      <c r="E11" s="501">
        <v>41535</v>
      </c>
      <c r="F11" t="s">
        <v>502</v>
      </c>
      <c r="G11" t="s">
        <v>868</v>
      </c>
    </row>
    <row r="12" spans="1:7" ht="12.75">
      <c r="A12" t="s">
        <v>868</v>
      </c>
      <c r="B12" t="s">
        <v>1185</v>
      </c>
      <c r="D12" t="s">
        <v>1187</v>
      </c>
      <c r="E12" s="501">
        <v>41568</v>
      </c>
      <c r="F12" t="s">
        <v>502</v>
      </c>
      <c r="G12" s="556" t="s">
        <v>1186</v>
      </c>
    </row>
    <row r="13" spans="1:7" ht="12.75">
      <c r="A13" t="s">
        <v>895</v>
      </c>
      <c r="B13" t="s">
        <v>896</v>
      </c>
      <c r="C13" t="s">
        <v>897</v>
      </c>
      <c r="E13" s="501">
        <v>41570</v>
      </c>
      <c r="F13" t="s">
        <v>502</v>
      </c>
      <c r="G13" s="556" t="s">
        <v>1186</v>
      </c>
    </row>
    <row r="14" spans="1:7" ht="12.75">
      <c r="A14" t="s">
        <v>1104</v>
      </c>
      <c r="B14" t="s">
        <v>84</v>
      </c>
      <c r="C14" t="s">
        <v>1119</v>
      </c>
      <c r="D14" t="s">
        <v>1120</v>
      </c>
      <c r="E14" s="501">
        <v>41618</v>
      </c>
      <c r="F14" t="s">
        <v>502</v>
      </c>
      <c r="G14" s="595">
        <v>1.1</v>
      </c>
    </row>
    <row r="15" spans="1:7" ht="12.75">
      <c r="A15" t="s">
        <v>1104</v>
      </c>
      <c r="B15" t="s">
        <v>84</v>
      </c>
      <c r="D15" t="s">
        <v>1105</v>
      </c>
      <c r="E15" s="501">
        <v>41618</v>
      </c>
      <c r="F15" t="s">
        <v>502</v>
      </c>
      <c r="G15" s="595">
        <v>1.1</v>
      </c>
    </row>
    <row r="16" spans="1:7" ht="12.75">
      <c r="A16" t="s">
        <v>1104</v>
      </c>
      <c r="B16" t="s">
        <v>84</v>
      </c>
      <c r="D16" t="s">
        <v>1106</v>
      </c>
      <c r="E16" s="501">
        <v>41618</v>
      </c>
      <c r="F16" t="s">
        <v>502</v>
      </c>
      <c r="G16" s="595">
        <v>1.1</v>
      </c>
    </row>
    <row r="17" spans="1:7" ht="12.75">
      <c r="A17" t="s">
        <v>1104</v>
      </c>
      <c r="B17" t="s">
        <v>84</v>
      </c>
      <c r="C17" t="s">
        <v>1110</v>
      </c>
      <c r="D17" t="s">
        <v>1114</v>
      </c>
      <c r="E17" s="501">
        <v>41618</v>
      </c>
      <c r="F17" t="s">
        <v>502</v>
      </c>
      <c r="G17" s="595">
        <v>1.1</v>
      </c>
    </row>
    <row r="18" spans="1:7" ht="12.75">
      <c r="A18" t="s">
        <v>1103</v>
      </c>
      <c r="B18" t="s">
        <v>498</v>
      </c>
      <c r="C18" t="s">
        <v>1107</v>
      </c>
      <c r="E18" s="501">
        <v>41619</v>
      </c>
      <c r="F18" t="s">
        <v>502</v>
      </c>
      <c r="G18" s="595">
        <v>1.1</v>
      </c>
    </row>
    <row r="19" spans="1:7" ht="12.75">
      <c r="A19" t="s">
        <v>1108</v>
      </c>
      <c r="B19" t="s">
        <v>84</v>
      </c>
      <c r="C19" t="s">
        <v>1109</v>
      </c>
      <c r="E19" s="501">
        <v>41621</v>
      </c>
      <c r="F19" t="s">
        <v>502</v>
      </c>
      <c r="G19" s="595">
        <v>1.1</v>
      </c>
    </row>
    <row r="20" spans="1:7" ht="12.75">
      <c r="A20" t="s">
        <v>1115</v>
      </c>
      <c r="B20" t="s">
        <v>1121</v>
      </c>
      <c r="D20" t="s">
        <v>1122</v>
      </c>
      <c r="E20" s="501">
        <v>41621</v>
      </c>
      <c r="F20" t="s">
        <v>502</v>
      </c>
      <c r="G20" s="595">
        <v>1.1</v>
      </c>
    </row>
    <row r="21" spans="1:7" ht="12.75">
      <c r="A21" t="s">
        <v>1115</v>
      </c>
      <c r="B21" t="s">
        <v>84</v>
      </c>
      <c r="C21" t="s">
        <v>1125</v>
      </c>
      <c r="E21" s="501">
        <v>41621</v>
      </c>
      <c r="F21" t="s">
        <v>502</v>
      </c>
      <c r="G21" s="595">
        <v>1.1</v>
      </c>
    </row>
    <row r="22" spans="1:7" ht="12.75">
      <c r="A22" t="s">
        <v>914</v>
      </c>
      <c r="B22" t="s">
        <v>84</v>
      </c>
      <c r="D22" t="s">
        <v>775</v>
      </c>
      <c r="E22" s="501">
        <v>41621</v>
      </c>
      <c r="F22" t="s">
        <v>502</v>
      </c>
      <c r="G22" s="595">
        <v>1.1</v>
      </c>
    </row>
    <row r="23" spans="1:7" ht="12.75">
      <c r="A23" t="s">
        <v>914</v>
      </c>
      <c r="B23" t="s">
        <v>84</v>
      </c>
      <c r="C23" t="s">
        <v>765</v>
      </c>
      <c r="D23" t="s">
        <v>766</v>
      </c>
      <c r="E23" s="501">
        <v>41621</v>
      </c>
      <c r="F23" t="s">
        <v>502</v>
      </c>
      <c r="G23" s="595">
        <v>1.1</v>
      </c>
    </row>
    <row r="24" spans="1:7" ht="12.75">
      <c r="A24" t="s">
        <v>914</v>
      </c>
      <c r="B24" t="s">
        <v>84</v>
      </c>
      <c r="C24" t="s">
        <v>767</v>
      </c>
      <c r="E24" s="501">
        <v>41621</v>
      </c>
      <c r="F24" t="s">
        <v>502</v>
      </c>
      <c r="G24" s="595">
        <v>1.1</v>
      </c>
    </row>
    <row r="25" spans="1:7" ht="12.75">
      <c r="A25" t="s">
        <v>594</v>
      </c>
      <c r="B25" t="s">
        <v>84</v>
      </c>
      <c r="C25" t="s">
        <v>595</v>
      </c>
      <c r="D25" t="s">
        <v>596</v>
      </c>
      <c r="E25" s="501">
        <v>41627</v>
      </c>
      <c r="F25" t="s">
        <v>502</v>
      </c>
      <c r="G25" s="595">
        <v>1.1</v>
      </c>
    </row>
    <row r="26" spans="1:8" ht="12.75">
      <c r="A26" t="s">
        <v>428</v>
      </c>
      <c r="B26" t="s">
        <v>84</v>
      </c>
      <c r="C26" t="s">
        <v>432</v>
      </c>
      <c r="E26" s="501">
        <v>41656</v>
      </c>
      <c r="F26" t="s">
        <v>502</v>
      </c>
      <c r="G26" s="595">
        <v>1.1</v>
      </c>
      <c r="H26" t="s">
        <v>5</v>
      </c>
    </row>
    <row r="27" spans="1:7" ht="12.75">
      <c r="A27" t="s">
        <v>2</v>
      </c>
      <c r="B27" t="s">
        <v>84</v>
      </c>
      <c r="C27" t="s">
        <v>3</v>
      </c>
      <c r="F27" t="s">
        <v>502</v>
      </c>
      <c r="G27" t="s">
        <v>8</v>
      </c>
    </row>
    <row r="28" spans="1:7" ht="76.5">
      <c r="A28" t="s">
        <v>4</v>
      </c>
      <c r="B28" t="s">
        <v>84</v>
      </c>
      <c r="C28" t="s">
        <v>6</v>
      </c>
      <c r="D28" s="509" t="s">
        <v>7</v>
      </c>
      <c r="E28" s="501">
        <v>41723</v>
      </c>
      <c r="F28" t="s">
        <v>502</v>
      </c>
      <c r="G28" s="595">
        <v>1.2</v>
      </c>
    </row>
    <row r="29" spans="1:7" ht="89.25">
      <c r="A29" t="s">
        <v>949</v>
      </c>
      <c r="B29" t="s">
        <v>84</v>
      </c>
      <c r="D29" s="509" t="s">
        <v>443</v>
      </c>
      <c r="E29" s="501">
        <v>41723</v>
      </c>
      <c r="F29" t="s">
        <v>502</v>
      </c>
      <c r="G29" s="595">
        <v>1.2</v>
      </c>
    </row>
    <row r="30" spans="2:7" ht="12.75">
      <c r="B30" t="s">
        <v>968</v>
      </c>
      <c r="C30" t="s">
        <v>969</v>
      </c>
      <c r="E30" s="501">
        <v>41723</v>
      </c>
      <c r="F30" t="s">
        <v>502</v>
      </c>
      <c r="G30" s="595">
        <v>1.2</v>
      </c>
    </row>
    <row r="31" spans="1:7" ht="12.75">
      <c r="A31" t="s">
        <v>953</v>
      </c>
      <c r="B31" t="s">
        <v>968</v>
      </c>
      <c r="C31" t="s">
        <v>954</v>
      </c>
      <c r="E31" s="501">
        <v>41731</v>
      </c>
      <c r="F31" t="s">
        <v>502</v>
      </c>
      <c r="G31" s="595">
        <v>1.2</v>
      </c>
    </row>
    <row r="32" spans="2:7" ht="12.75">
      <c r="B32" t="s">
        <v>84</v>
      </c>
      <c r="C32" s="595" t="s">
        <v>955</v>
      </c>
      <c r="D32" t="s">
        <v>956</v>
      </c>
      <c r="E32" s="501">
        <v>41731</v>
      </c>
      <c r="F32" t="s">
        <v>502</v>
      </c>
      <c r="G32" s="595">
        <v>1.2</v>
      </c>
    </row>
    <row r="33" spans="1:7" ht="12.75">
      <c r="A33" t="s">
        <v>957</v>
      </c>
      <c r="B33" t="s">
        <v>968</v>
      </c>
      <c r="C33" t="s">
        <v>958</v>
      </c>
      <c r="E33" s="501">
        <v>41731</v>
      </c>
      <c r="F33" t="s">
        <v>502</v>
      </c>
      <c r="G33" s="595">
        <v>1.2</v>
      </c>
    </row>
    <row r="34" spans="2:7" ht="12.75">
      <c r="B34" t="s">
        <v>84</v>
      </c>
      <c r="C34" t="s">
        <v>959</v>
      </c>
      <c r="E34" s="501">
        <v>41731</v>
      </c>
      <c r="F34" t="s">
        <v>502</v>
      </c>
      <c r="G34" s="595">
        <v>1.2</v>
      </c>
    </row>
    <row r="35" spans="1:7" ht="12.75">
      <c r="A35" t="s">
        <v>681</v>
      </c>
      <c r="C35" t="s">
        <v>1107</v>
      </c>
      <c r="E35" s="501">
        <v>41733</v>
      </c>
      <c r="F35" t="s">
        <v>502</v>
      </c>
      <c r="G35" s="595">
        <v>1.2</v>
      </c>
    </row>
    <row r="36" spans="1:7" ht="12.75">
      <c r="A36" t="s">
        <v>33</v>
      </c>
      <c r="B36" t="s">
        <v>84</v>
      </c>
      <c r="C36" t="s">
        <v>34</v>
      </c>
      <c r="E36" s="501">
        <v>41946</v>
      </c>
      <c r="F36" t="s">
        <v>502</v>
      </c>
      <c r="G36" s="595">
        <v>1.3</v>
      </c>
    </row>
    <row r="37" spans="1:7" ht="12.75">
      <c r="A37" t="s">
        <v>841</v>
      </c>
      <c r="B37" t="s">
        <v>84</v>
      </c>
      <c r="C37" t="s">
        <v>843</v>
      </c>
      <c r="E37" s="501">
        <v>42011</v>
      </c>
      <c r="F37" t="s">
        <v>502</v>
      </c>
      <c r="G37" s="595">
        <v>1.3</v>
      </c>
    </row>
    <row r="38" spans="1:7" ht="12.75">
      <c r="A38" t="s">
        <v>841</v>
      </c>
      <c r="B38" t="s">
        <v>968</v>
      </c>
      <c r="C38" t="s">
        <v>842</v>
      </c>
      <c r="E38" s="501">
        <v>42011</v>
      </c>
      <c r="F38" t="s">
        <v>502</v>
      </c>
      <c r="G38" s="595">
        <v>1.3</v>
      </c>
    </row>
    <row r="39" spans="1:7" ht="12.75">
      <c r="A39" t="s">
        <v>503</v>
      </c>
      <c r="B39" t="s">
        <v>84</v>
      </c>
      <c r="C39" t="s">
        <v>504</v>
      </c>
      <c r="D39" t="s">
        <v>505</v>
      </c>
      <c r="E39" s="501">
        <v>42066</v>
      </c>
      <c r="F39" t="s">
        <v>502</v>
      </c>
      <c r="G39" s="595">
        <v>1.3</v>
      </c>
    </row>
    <row r="40" spans="1:7" ht="12.75">
      <c r="A40" t="s">
        <v>714</v>
      </c>
      <c r="B40" t="s">
        <v>84</v>
      </c>
      <c r="C40" t="s">
        <v>715</v>
      </c>
      <c r="E40" s="501">
        <v>42096</v>
      </c>
      <c r="F40" t="s">
        <v>502</v>
      </c>
      <c r="G40" s="595">
        <v>1.3</v>
      </c>
    </row>
    <row r="41" spans="1:7" ht="12.75">
      <c r="A41" t="s">
        <v>716</v>
      </c>
      <c r="B41" t="s">
        <v>84</v>
      </c>
      <c r="C41" t="s">
        <v>717</v>
      </c>
      <c r="E41" s="501">
        <v>42102</v>
      </c>
      <c r="F41" t="s">
        <v>502</v>
      </c>
      <c r="G41" s="595">
        <v>1.4</v>
      </c>
    </row>
    <row r="42" spans="1:7" ht="12.75">
      <c r="A42" t="s">
        <v>612</v>
      </c>
      <c r="B42" t="s">
        <v>84</v>
      </c>
      <c r="C42" t="s">
        <v>611</v>
      </c>
      <c r="E42" s="501">
        <v>42103</v>
      </c>
      <c r="F42" t="s">
        <v>502</v>
      </c>
      <c r="G42" s="595">
        <v>1.4</v>
      </c>
    </row>
    <row r="43" spans="1:7" ht="12.75">
      <c r="A43" t="s">
        <v>613</v>
      </c>
      <c r="B43" t="s">
        <v>614</v>
      </c>
      <c r="E43" s="501">
        <v>42109</v>
      </c>
      <c r="F43" t="s">
        <v>616</v>
      </c>
      <c r="G43" s="595">
        <v>1.4</v>
      </c>
    </row>
    <row r="44" spans="1:7" ht="12.75">
      <c r="A44" t="s">
        <v>610</v>
      </c>
      <c r="B44" t="s">
        <v>614</v>
      </c>
      <c r="C44" t="s">
        <v>615</v>
      </c>
      <c r="E44" s="501">
        <v>42116</v>
      </c>
      <c r="F44" t="s">
        <v>616</v>
      </c>
      <c r="G44" s="595">
        <v>1.4</v>
      </c>
    </row>
    <row r="45" spans="1:7" ht="12.75">
      <c r="A45" t="s">
        <v>617</v>
      </c>
      <c r="B45" t="s">
        <v>84</v>
      </c>
      <c r="C45" t="s">
        <v>618</v>
      </c>
      <c r="E45" s="501">
        <v>42121</v>
      </c>
      <c r="F45" t="s">
        <v>502</v>
      </c>
      <c r="G45" s="595">
        <v>1.4</v>
      </c>
    </row>
    <row r="46" spans="1:7" ht="12.75">
      <c r="A46" t="s">
        <v>630</v>
      </c>
      <c r="B46" t="s">
        <v>84</v>
      </c>
      <c r="C46" t="s">
        <v>631</v>
      </c>
      <c r="E46" s="501">
        <v>42186</v>
      </c>
      <c r="F46" t="s">
        <v>502</v>
      </c>
      <c r="G46" s="595">
        <v>1.4</v>
      </c>
    </row>
    <row r="47" spans="1:7" ht="12.75">
      <c r="A47" t="s">
        <v>632</v>
      </c>
      <c r="B47" t="s">
        <v>84</v>
      </c>
      <c r="C47" t="s">
        <v>633</v>
      </c>
      <c r="E47" s="501">
        <v>42186</v>
      </c>
      <c r="F47" t="s">
        <v>502</v>
      </c>
      <c r="G47" s="595">
        <v>1.4</v>
      </c>
    </row>
    <row r="48" spans="1:7" ht="12.75">
      <c r="A48" t="s">
        <v>1146</v>
      </c>
      <c r="B48" t="s">
        <v>84</v>
      </c>
      <c r="C48" t="s">
        <v>1147</v>
      </c>
      <c r="E48" s="501">
        <v>42186</v>
      </c>
      <c r="F48" t="s">
        <v>502</v>
      </c>
      <c r="G48" s="595">
        <v>1.4</v>
      </c>
    </row>
    <row r="49" spans="1:7" ht="12.75">
      <c r="A49" t="s">
        <v>565</v>
      </c>
      <c r="B49" t="s">
        <v>84</v>
      </c>
      <c r="C49" t="s">
        <v>566</v>
      </c>
      <c r="E49" s="501">
        <v>42201</v>
      </c>
      <c r="F49" t="s">
        <v>502</v>
      </c>
      <c r="G49" s="595">
        <v>1.4</v>
      </c>
    </row>
    <row r="50" spans="1:7" ht="12.75">
      <c r="A50" t="s">
        <v>1062</v>
      </c>
      <c r="B50" t="s">
        <v>84</v>
      </c>
      <c r="C50" t="s">
        <v>1063</v>
      </c>
      <c r="E50" s="501">
        <v>42206</v>
      </c>
      <c r="F50" t="s">
        <v>502</v>
      </c>
      <c r="G50" s="595">
        <v>1.4</v>
      </c>
    </row>
    <row r="51" spans="1:7" ht="12.75">
      <c r="A51" t="s">
        <v>810</v>
      </c>
      <c r="B51" t="s">
        <v>84</v>
      </c>
      <c r="C51" t="s">
        <v>1107</v>
      </c>
      <c r="E51" s="501">
        <v>42211</v>
      </c>
      <c r="F51" t="s">
        <v>502</v>
      </c>
      <c r="G51" s="595">
        <v>1.4</v>
      </c>
    </row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PLHV_GMF 1.4</dc:title>
  <dc:subject/>
  <dc:creator>AGRIDEA</dc:creator>
  <cp:keywords/>
  <dc:description/>
  <cp:lastModifiedBy/>
  <cp:lastPrinted>2015-07-26T09:06:37Z</cp:lastPrinted>
  <dcterms:created xsi:type="dcterms:W3CDTF">2012-10-26T08:14:52Z</dcterms:created>
  <dcterms:modified xsi:type="dcterms:W3CDTF">2015-07-26T09:24:52Z</dcterms:modified>
  <cp:category/>
  <cp:version/>
  <cp:contentType/>
  <cp:contentStatus/>
</cp:coreProperties>
</file>