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grideach.sharepoint.com/sites/G_410/Projects/90_PER/40_GMF/GMF-PLVH_1.11/"/>
    </mc:Choice>
  </mc:AlternateContent>
  <xr:revisionPtr revIDLastSave="6" documentId="8_{FF71B682-DD8C-471C-81EB-DC9B02F7D7AC}" xr6:coauthVersionLast="47" xr6:coauthVersionMax="47" xr10:uidLastSave="{10A20892-1DAA-491C-BF35-0D4F34BC3013}"/>
  <bookViews>
    <workbookView xWindow="-120" yWindow="-120" windowWidth="29040" windowHeight="15720" activeTab="1" xr2:uid="{09F7160A-1839-47C2-A681-47C873194000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 l="1"/>
  <c r="D40" i="8"/>
  <c r="D39" i="8"/>
  <c r="D38" i="8"/>
  <c r="D37" i="8"/>
  <c r="D36" i="8"/>
  <c r="S181" i="4"/>
  <c r="S180" i="4"/>
  <c r="S185" i="4" s="1"/>
  <c r="I137" i="4"/>
  <c r="I146" i="4"/>
  <c r="L110" i="4"/>
  <c r="J142" i="4"/>
  <c r="J143" i="4"/>
  <c r="J144" i="4"/>
  <c r="J145" i="4"/>
  <c r="S145" i="4"/>
  <c r="J146" i="4"/>
  <c r="I143" i="4"/>
  <c r="I144" i="4"/>
  <c r="L117" i="4"/>
  <c r="L116" i="4"/>
  <c r="R41" i="4"/>
  <c r="J121" i="4"/>
  <c r="AB38" i="4"/>
  <c r="AB37" i="4"/>
  <c r="Z110" i="4"/>
  <c r="J120" i="4"/>
  <c r="H36" i="11"/>
  <c r="L106" i="4"/>
  <c r="L101" i="4"/>
  <c r="D55" i="8"/>
  <c r="J41" i="4"/>
  <c r="L41" i="4" s="1"/>
  <c r="M41" i="4"/>
  <c r="M68" i="4" s="1"/>
  <c r="N88" i="4"/>
  <c r="N181" i="4" s="1"/>
  <c r="N185" i="4" s="1"/>
  <c r="A2" i="5"/>
  <c r="A73" i="5" s="1"/>
  <c r="Y11" i="4" s="1"/>
  <c r="J138" i="4"/>
  <c r="W138" i="4"/>
  <c r="J139" i="4"/>
  <c r="S139" i="4"/>
  <c r="J147" i="4"/>
  <c r="W147" i="4"/>
  <c r="J153" i="4"/>
  <c r="W153" i="4"/>
  <c r="J155" i="4"/>
  <c r="W155" i="4"/>
  <c r="Z33" i="4"/>
  <c r="K42" i="4"/>
  <c r="Q43" i="4"/>
  <c r="R43" i="4"/>
  <c r="Q44" i="4"/>
  <c r="R44" i="4"/>
  <c r="Q45" i="4"/>
  <c r="R45" i="4"/>
  <c r="J43" i="4"/>
  <c r="L43" i="4"/>
  <c r="J44" i="4"/>
  <c r="L44" i="4"/>
  <c r="J45" i="4"/>
  <c r="L45" i="4"/>
  <c r="J46" i="4"/>
  <c r="L46" i="4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8" i="8"/>
  <c r="J156" i="4"/>
  <c r="W156" i="4"/>
  <c r="J154" i="4"/>
  <c r="W154" i="4" s="1"/>
  <c r="S154" i="4"/>
  <c r="I138" i="4"/>
  <c r="L102" i="4"/>
  <c r="W102" i="4" s="1"/>
  <c r="T63" i="4"/>
  <c r="T62" i="4"/>
  <c r="T41" i="4"/>
  <c r="L103" i="4"/>
  <c r="W103" i="4" s="1"/>
  <c r="Z32" i="4"/>
  <c r="K41" i="4" s="1"/>
  <c r="J75" i="4"/>
  <c r="L75" i="4" s="1"/>
  <c r="M75" i="4" s="1"/>
  <c r="J76" i="4"/>
  <c r="L76" i="4"/>
  <c r="M76" i="4" s="1"/>
  <c r="J77" i="4"/>
  <c r="L77" i="4" s="1"/>
  <c r="M77" i="4"/>
  <c r="J74" i="4"/>
  <c r="L74" i="4"/>
  <c r="J79" i="4"/>
  <c r="L79" i="4"/>
  <c r="N79" i="4" s="1"/>
  <c r="J80" i="4"/>
  <c r="L80" i="4" s="1"/>
  <c r="N80" i="4"/>
  <c r="J81" i="4"/>
  <c r="L81" i="4"/>
  <c r="N81" i="4" s="1"/>
  <c r="J78" i="4"/>
  <c r="L78" i="4" s="1"/>
  <c r="K142" i="4"/>
  <c r="W142" i="4"/>
  <c r="K146" i="4"/>
  <c r="S146" i="4"/>
  <c r="K150" i="4"/>
  <c r="J150" i="4"/>
  <c r="S150" i="4" s="1"/>
  <c r="L100" i="4"/>
  <c r="L104" i="4"/>
  <c r="W104" i="4"/>
  <c r="L105" i="4"/>
  <c r="W105" i="4"/>
  <c r="W107" i="4"/>
  <c r="W108" i="4"/>
  <c r="J51" i="4"/>
  <c r="L51" i="4"/>
  <c r="R54" i="4"/>
  <c r="R55" i="4"/>
  <c r="J42" i="4"/>
  <c r="L42" i="4"/>
  <c r="Q51" i="4"/>
  <c r="R51" i="4"/>
  <c r="I132" i="4"/>
  <c r="I133" i="4"/>
  <c r="I134" i="4"/>
  <c r="I159" i="4" s="1"/>
  <c r="I135" i="4"/>
  <c r="I136" i="4"/>
  <c r="J132" i="4"/>
  <c r="J137" i="4"/>
  <c r="S137" i="4" s="1"/>
  <c r="J47" i="4"/>
  <c r="L47" i="4" s="1"/>
  <c r="J48" i="4"/>
  <c r="L48" i="4" s="1"/>
  <c r="J49" i="4"/>
  <c r="L49" i="4" s="1"/>
  <c r="J50" i="4"/>
  <c r="L50" i="4" s="1"/>
  <c r="L68" i="4" s="1"/>
  <c r="J52" i="4"/>
  <c r="L52" i="4" s="1"/>
  <c r="J53" i="4"/>
  <c r="L53" i="4" s="1"/>
  <c r="J54" i="4"/>
  <c r="L54" i="4" s="1"/>
  <c r="J55" i="4"/>
  <c r="L55" i="4" s="1"/>
  <c r="J56" i="4"/>
  <c r="L56" i="4" s="1"/>
  <c r="Q41" i="4"/>
  <c r="R42" i="4"/>
  <c r="R68" i="4" s="1"/>
  <c r="R46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Q52" i="4"/>
  <c r="R52" i="4"/>
  <c r="I139" i="4"/>
  <c r="J63" i="4"/>
  <c r="L63" i="4"/>
  <c r="J57" i="4"/>
  <c r="L57" i="4"/>
  <c r="J58" i="4"/>
  <c r="L58" i="4"/>
  <c r="J59" i="4"/>
  <c r="L59" i="4"/>
  <c r="J60" i="4"/>
  <c r="L60" i="4"/>
  <c r="J62" i="4"/>
  <c r="L62" i="4"/>
  <c r="J64" i="4"/>
  <c r="L64" i="4"/>
  <c r="J65" i="4"/>
  <c r="L65" i="4"/>
  <c r="J66" i="4"/>
  <c r="L66" i="4"/>
  <c r="J67" i="4"/>
  <c r="L67" i="4"/>
  <c r="I140" i="4"/>
  <c r="I141" i="4"/>
  <c r="I142" i="4"/>
  <c r="I145" i="4"/>
  <c r="J133" i="4"/>
  <c r="J161" i="4"/>
  <c r="J134" i="4"/>
  <c r="J135" i="4"/>
  <c r="J136" i="4"/>
  <c r="J140" i="4"/>
  <c r="S140" i="4" s="1"/>
  <c r="J141" i="4"/>
  <c r="S141" i="4" s="1"/>
  <c r="J148" i="4"/>
  <c r="J149" i="4"/>
  <c r="J151" i="4"/>
  <c r="S151" i="4" s="1"/>
  <c r="J152" i="4"/>
  <c r="W152" i="4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R47" i="4"/>
  <c r="Q48" i="4"/>
  <c r="Q49" i="4"/>
  <c r="Q50" i="4"/>
  <c r="Q53" i="4"/>
  <c r="R53" i="4"/>
  <c r="Q54" i="4"/>
  <c r="Q55" i="4"/>
  <c r="Q56" i="4"/>
  <c r="R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2" i="4"/>
  <c r="O186" i="4"/>
  <c r="Z109" i="4"/>
  <c r="Z111" i="4"/>
  <c r="Z112" i="4"/>
  <c r="Z113" i="4"/>
  <c r="Z114" i="4"/>
  <c r="Z115" i="4"/>
  <c r="Z116" i="4"/>
  <c r="M119" i="4" s="1"/>
  <c r="Z117" i="4"/>
  <c r="AI180" i="4"/>
  <c r="AH180" i="4"/>
  <c r="K67" i="4"/>
  <c r="F67" i="4"/>
  <c r="K65" i="4"/>
  <c r="K66" i="4"/>
  <c r="F42" i="8"/>
  <c r="F44" i="8"/>
  <c r="F43" i="8"/>
  <c r="F64" i="4"/>
  <c r="F65" i="4"/>
  <c r="F66" i="4"/>
  <c r="S152" i="4"/>
  <c r="W137" i="4"/>
  <c r="S157" i="4"/>
  <c r="W139" i="4"/>
  <c r="S156" i="4"/>
  <c r="S138" i="4"/>
  <c r="W140" i="4"/>
  <c r="I160" i="4"/>
  <c r="L160" i="4" s="1"/>
  <c r="A25" i="5"/>
  <c r="B25" i="7" s="1"/>
  <c r="A216" i="5"/>
  <c r="B103" i="4" s="1"/>
  <c r="A273" i="5"/>
  <c r="A182" i="5"/>
  <c r="A319" i="4"/>
  <c r="A327" i="5"/>
  <c r="B183" i="4" s="1"/>
  <c r="A339" i="5"/>
  <c r="L174" i="4" s="1"/>
  <c r="A6" i="5"/>
  <c r="S3" i="4" s="1"/>
  <c r="A164" i="5"/>
  <c r="A187" i="5"/>
  <c r="A438" i="5"/>
  <c r="I26" i="11" s="1"/>
  <c r="A148" i="5"/>
  <c r="B29" i="8" s="1"/>
  <c r="A332" i="5"/>
  <c r="F173" i="4" s="1"/>
  <c r="A118" i="5"/>
  <c r="S38" i="4" s="1"/>
  <c r="A153" i="5"/>
  <c r="A287" i="5"/>
  <c r="B142" i="4" s="1"/>
  <c r="A397" i="5"/>
  <c r="N221" i="4" s="1"/>
  <c r="A328" i="5"/>
  <c r="B184" i="4" s="1"/>
  <c r="A446" i="5"/>
  <c r="B43" i="11" s="1"/>
  <c r="A251" i="5"/>
  <c r="A99" i="5"/>
  <c r="A45" i="5"/>
  <c r="B41" i="7" s="1"/>
  <c r="A59" i="5"/>
  <c r="B10" i="4" s="1"/>
  <c r="A293" i="5"/>
  <c r="B148" i="4" s="1"/>
  <c r="A309" i="5"/>
  <c r="B166" i="4" s="1"/>
  <c r="A244" i="5"/>
  <c r="B210" i="4" s="1"/>
  <c r="A200" i="5"/>
  <c r="B94" i="4"/>
  <c r="A285" i="5"/>
  <c r="B140" i="4"/>
  <c r="A259" i="5"/>
  <c r="A232" i="5"/>
  <c r="E118" i="4" s="1"/>
  <c r="A147" i="5"/>
  <c r="B28" i="8" s="1"/>
  <c r="A51" i="5"/>
  <c r="A297" i="5"/>
  <c r="B151" i="4" s="1"/>
  <c r="A265" i="5"/>
  <c r="F130" i="4" s="1"/>
  <c r="A440" i="5"/>
  <c r="I36" i="11" s="1"/>
  <c r="A447" i="5"/>
  <c r="B44" i="11"/>
  <c r="A33" i="5"/>
  <c r="B33" i="7"/>
  <c r="A241" i="5"/>
  <c r="C207" i="4" s="1"/>
  <c r="A323" i="5"/>
  <c r="B179" i="4"/>
  <c r="A126" i="5"/>
  <c r="A364" i="5"/>
  <c r="A13" i="5"/>
  <c r="B14" i="7" s="1"/>
  <c r="A92" i="5"/>
  <c r="H71" i="4" s="1"/>
  <c r="A106" i="5"/>
  <c r="M37" i="4" s="1"/>
  <c r="A169" i="5"/>
  <c r="A128" i="5"/>
  <c r="C43" i="4" s="1"/>
  <c r="A9" i="5"/>
  <c r="B9" i="7"/>
  <c r="A165" i="5"/>
  <c r="A309" i="4" s="1"/>
  <c r="A308" i="5"/>
  <c r="B164" i="4" s="1"/>
  <c r="A41" i="5"/>
  <c r="B37" i="7" s="1"/>
  <c r="A445" i="5"/>
  <c r="J30" i="11" s="1"/>
  <c r="A69" i="5"/>
  <c r="V10" i="4" s="1"/>
  <c r="A344" i="5"/>
  <c r="B189" i="4" s="1"/>
  <c r="A64" i="5"/>
  <c r="M12" i="4" s="1"/>
  <c r="A383" i="5"/>
  <c r="C34" i="8"/>
  <c r="A267" i="5"/>
  <c r="G130" i="4" s="1"/>
  <c r="A58" i="5"/>
  <c r="M8" i="4" s="1"/>
  <c r="A144" i="5"/>
  <c r="B27" i="8" s="1"/>
  <c r="A348" i="5"/>
  <c r="A18" i="5"/>
  <c r="B17" i="7"/>
  <c r="A43" i="5"/>
  <c r="B39" i="7" s="1"/>
  <c r="A211" i="5"/>
  <c r="M132" i="4"/>
  <c r="A46" i="5"/>
  <c r="B42" i="7"/>
  <c r="A77" i="5"/>
  <c r="AB11" i="4" s="1"/>
  <c r="A432" i="5"/>
  <c r="B32" i="11" s="1"/>
  <c r="A122" i="5"/>
  <c r="B40" i="4" s="1"/>
  <c r="A291" i="5"/>
  <c r="B146" i="4"/>
  <c r="A125" i="5"/>
  <c r="B9" i="8" s="1"/>
  <c r="A193" i="5"/>
  <c r="B86" i="4" s="1"/>
  <c r="A15" i="5"/>
  <c r="C13" i="7" s="1"/>
  <c r="A134" i="5"/>
  <c r="A107" i="5"/>
  <c r="A213" i="5"/>
  <c r="B100" i="4" s="1"/>
  <c r="A192" i="5"/>
  <c r="B85" i="4" s="1"/>
  <c r="A281" i="5"/>
  <c r="B136" i="4" s="1"/>
  <c r="A419" i="5"/>
  <c r="B8" i="11" s="1"/>
  <c r="A284" i="5"/>
  <c r="B139" i="4" s="1"/>
  <c r="A155" i="5"/>
  <c r="B36" i="8" s="1"/>
  <c r="A138" i="5"/>
  <c r="B55" i="4" s="1"/>
  <c r="A380" i="5"/>
  <c r="C43" i="8" s="1"/>
  <c r="A280" i="5"/>
  <c r="B135" i="4" s="1"/>
  <c r="A5" i="5"/>
  <c r="G2" i="7" s="1"/>
  <c r="A304" i="5"/>
  <c r="B160" i="4" s="1"/>
  <c r="A252" i="5"/>
  <c r="A408" i="5"/>
  <c r="A313" i="5"/>
  <c r="Q126" i="4" s="1"/>
  <c r="A177" i="5"/>
  <c r="B55" i="8" s="1"/>
  <c r="X74" i="4" s="1"/>
  <c r="A145" i="5"/>
  <c r="A188" i="5"/>
  <c r="A175" i="5"/>
  <c r="A85" i="5"/>
  <c r="L33" i="4" s="1"/>
  <c r="A94" i="5"/>
  <c r="H73" i="4" s="1"/>
  <c r="A250" i="5"/>
  <c r="B216" i="4"/>
  <c r="A331" i="5"/>
  <c r="L186" i="4" s="1"/>
  <c r="A262" i="5"/>
  <c r="B128" i="4" s="1"/>
  <c r="A34" i="5"/>
  <c r="B34" i="7" s="1"/>
  <c r="A345" i="5"/>
  <c r="B220" i="4"/>
  <c r="A142" i="5"/>
  <c r="B25" i="8" s="1"/>
  <c r="A322" i="5"/>
  <c r="B178" i="4" s="1"/>
  <c r="A254" i="5"/>
  <c r="A136" i="5"/>
  <c r="A280" i="4" s="1"/>
  <c r="A199" i="5"/>
  <c r="B93" i="4"/>
  <c r="A236" i="5"/>
  <c r="B123" i="4" s="1"/>
  <c r="A66" i="5"/>
  <c r="M14" i="4" s="1"/>
  <c r="A110" i="5"/>
  <c r="N36" i="4" s="1"/>
  <c r="A354" i="5"/>
  <c r="Q173" i="4" s="1"/>
  <c r="A306" i="5"/>
  <c r="B162" i="4" s="1"/>
  <c r="A257" i="5"/>
  <c r="Q98" i="4" s="1"/>
  <c r="A316" i="5"/>
  <c r="Q130" i="4" s="1"/>
  <c r="A116" i="5"/>
  <c r="P39" i="4" s="1"/>
  <c r="A301" i="5"/>
  <c r="B156" i="4" s="1"/>
  <c r="A288" i="5"/>
  <c r="B143" i="4" s="1"/>
  <c r="A404" i="5"/>
  <c r="N224" i="4" s="1"/>
  <c r="A276" i="5"/>
  <c r="A389" i="5"/>
  <c r="AJ184" i="4"/>
  <c r="A396" i="5"/>
  <c r="B221" i="4" s="1"/>
  <c r="A180" i="5"/>
  <c r="A317" i="4" s="1"/>
  <c r="A268" i="5"/>
  <c r="G131" i="4" s="1"/>
  <c r="A24" i="5"/>
  <c r="B24" i="7"/>
  <c r="A108" i="5"/>
  <c r="A361" i="5"/>
  <c r="S175" i="4" s="1"/>
  <c r="A196" i="5"/>
  <c r="B89" i="4"/>
  <c r="A412" i="5"/>
  <c r="A84" i="5"/>
  <c r="G33" i="4"/>
  <c r="A274" i="5"/>
  <c r="J130" i="4" s="1"/>
  <c r="A325" i="5"/>
  <c r="B181" i="4" s="1"/>
  <c r="A53" i="5"/>
  <c r="D2" i="4"/>
  <c r="A207" i="5"/>
  <c r="K99" i="4" s="1"/>
  <c r="A299" i="5"/>
  <c r="B153" i="4" s="1"/>
  <c r="A44" i="5"/>
  <c r="B40" i="7" s="1"/>
  <c r="A277" i="5"/>
  <c r="B132" i="4" s="1"/>
  <c r="A103" i="5"/>
  <c r="L39" i="4" s="1"/>
  <c r="A139" i="5"/>
  <c r="B22" i="8" s="1"/>
  <c r="A378" i="5"/>
  <c r="F4" i="8" s="1"/>
  <c r="A198" i="5"/>
  <c r="B92" i="4" s="1"/>
  <c r="A330" i="5"/>
  <c r="B186" i="4" s="1"/>
  <c r="A105" i="5"/>
  <c r="M36" i="4" s="1"/>
  <c r="A296" i="5"/>
  <c r="B150" i="4" s="1"/>
  <c r="A31" i="5"/>
  <c r="B31" i="7"/>
  <c r="A183" i="5"/>
  <c r="A141" i="5"/>
  <c r="A281" i="4" s="1"/>
  <c r="A271" i="5"/>
  <c r="K131" i="4" s="1"/>
  <c r="A338" i="5"/>
  <c r="J174" i="4"/>
  <c r="A417" i="5"/>
  <c r="D3" i="11" s="1"/>
  <c r="A351" i="5"/>
  <c r="I194" i="4"/>
  <c r="A203" i="5"/>
  <c r="I98" i="4" s="1"/>
  <c r="A324" i="5"/>
  <c r="B180" i="4"/>
  <c r="A154" i="5"/>
  <c r="A278" i="5"/>
  <c r="B133" i="4" s="1"/>
  <c r="A143" i="5"/>
  <c r="A283" i="4" s="1"/>
  <c r="A388" i="5"/>
  <c r="AL178" i="4" s="1"/>
  <c r="A174" i="5"/>
  <c r="B52" i="8" s="1"/>
  <c r="A333" i="5"/>
  <c r="F174" i="4"/>
  <c r="A418" i="5"/>
  <c r="B6" i="11"/>
  <c r="A149" i="5"/>
  <c r="B30" i="8" s="1"/>
  <c r="A307" i="5"/>
  <c r="B163" i="4" s="1"/>
  <c r="A230" i="5"/>
  <c r="E116" i="4"/>
  <c r="A430" i="5"/>
  <c r="B28" i="11" s="1"/>
  <c r="A186" i="5"/>
  <c r="B64" i="8"/>
  <c r="A26" i="5"/>
  <c r="B26" i="7" s="1"/>
  <c r="A421" i="5"/>
  <c r="B10" i="11"/>
  <c r="A40" i="5"/>
  <c r="A52" i="5"/>
  <c r="A356" i="5"/>
  <c r="R173" i="4" s="1"/>
  <c r="A54" i="5"/>
  <c r="D3" i="4" s="1"/>
  <c r="A406" i="5"/>
  <c r="A346" i="5"/>
  <c r="AD43" i="4" s="1"/>
  <c r="A420" i="5"/>
  <c r="B9" i="11" s="1"/>
  <c r="A70" i="5"/>
  <c r="M15" i="4" s="1"/>
  <c r="A312" i="5"/>
  <c r="B169" i="4" s="1"/>
  <c r="A78" i="5"/>
  <c r="AB12" i="4"/>
  <c r="A272" i="5"/>
  <c r="A20" i="5"/>
  <c r="B20" i="7"/>
  <c r="A172" i="5"/>
  <c r="M71" i="4"/>
  <c r="A61" i="5"/>
  <c r="B11" i="4"/>
  <c r="A179" i="5"/>
  <c r="A393" i="5"/>
  <c r="B202" i="4" s="1"/>
  <c r="A428" i="5"/>
  <c r="B24" i="11" s="1"/>
  <c r="A88" i="5"/>
  <c r="V16" i="4" s="1"/>
  <c r="A55" i="5"/>
  <c r="B7" i="4" s="1"/>
  <c r="A109" i="5"/>
  <c r="A253" i="5"/>
  <c r="A317" i="5"/>
  <c r="Q131" i="4" s="1"/>
  <c r="A161" i="5"/>
  <c r="A403" i="5"/>
  <c r="Q223" i="4" s="1"/>
  <c r="A260" i="5"/>
  <c r="A263" i="5"/>
  <c r="B129" i="4" s="1"/>
  <c r="A104" i="5"/>
  <c r="M123" i="4" s="1"/>
  <c r="A292" i="5"/>
  <c r="B147" i="4"/>
  <c r="A132" i="5"/>
  <c r="A276" i="4"/>
  <c r="A68" i="5"/>
  <c r="V9" i="4" s="1"/>
  <c r="A376" i="5"/>
  <c r="D6" i="8" s="1"/>
  <c r="A448" i="5"/>
  <c r="B45" i="11"/>
  <c r="B50" i="4"/>
  <c r="M168" i="4"/>
  <c r="M166" i="4"/>
  <c r="A190" i="5"/>
  <c r="A282" i="5"/>
  <c r="B137" i="4" s="1"/>
  <c r="A429" i="5"/>
  <c r="B26" i="11" s="1"/>
  <c r="A243" i="5"/>
  <c r="E208" i="4"/>
  <c r="A314" i="5"/>
  <c r="Q128" i="4"/>
  <c r="A170" i="5"/>
  <c r="B69" i="4" s="1"/>
  <c r="A19" i="5"/>
  <c r="B19" i="7" s="1"/>
  <c r="A320" i="5"/>
  <c r="B171" i="4" s="1"/>
  <c r="A337" i="5"/>
  <c r="AJ185" i="4"/>
  <c r="A129" i="5"/>
  <c r="B12" i="8" s="1"/>
  <c r="A210" i="5"/>
  <c r="M131" i="4" s="1"/>
  <c r="A204" i="5"/>
  <c r="I99" i="4"/>
  <c r="A119" i="5"/>
  <c r="R39" i="4"/>
  <c r="A358" i="5"/>
  <c r="R175" i="4" s="1"/>
  <c r="A362" i="5"/>
  <c r="T173" i="4" s="1"/>
  <c r="A353" i="5"/>
  <c r="Q171" i="4"/>
  <c r="A11" i="5"/>
  <c r="B12" i="7"/>
  <c r="A298" i="5"/>
  <c r="B152" i="4" s="1"/>
  <c r="A74" i="5"/>
  <c r="M16" i="4" s="1"/>
  <c r="A256" i="5"/>
  <c r="Q96" i="4"/>
  <c r="A423" i="5"/>
  <c r="B13" i="11"/>
  <c r="A392" i="5"/>
  <c r="B200" i="4" s="1"/>
  <c r="A411" i="5"/>
  <c r="A264" i="5"/>
  <c r="B130" i="4"/>
  <c r="A374" i="5"/>
  <c r="D4" i="8" s="1"/>
  <c r="A366" i="5"/>
  <c r="Q192" i="4" s="1"/>
  <c r="A382" i="5"/>
  <c r="C30" i="8"/>
  <c r="A48" i="5"/>
  <c r="B44" i="7"/>
  <c r="A321" i="5"/>
  <c r="B177" i="4" s="1"/>
  <c r="A152" i="5"/>
  <c r="A296" i="4" s="1"/>
  <c r="A368" i="5"/>
  <c r="A91" i="5"/>
  <c r="G72" i="4" s="1"/>
  <c r="A395" i="5"/>
  <c r="B204" i="4"/>
  <c r="A47" i="5"/>
  <c r="B43" i="7"/>
  <c r="A300" i="5"/>
  <c r="B154" i="4" s="1"/>
  <c r="A400" i="5"/>
  <c r="B225" i="4" s="1"/>
  <c r="A379" i="5"/>
  <c r="F5" i="8"/>
  <c r="A275" i="5"/>
  <c r="K130" i="4"/>
  <c r="A302" i="5"/>
  <c r="B157" i="4" s="1"/>
  <c r="A342" i="5"/>
  <c r="A326" i="5"/>
  <c r="B182" i="4"/>
  <c r="A284" i="4"/>
  <c r="I38" i="11"/>
  <c r="I34" i="11"/>
  <c r="B60" i="8"/>
  <c r="X79" i="4" s="1"/>
  <c r="A218" i="5"/>
  <c r="B105" i="4"/>
  <c r="A224" i="5"/>
  <c r="B111" i="4"/>
  <c r="A329" i="5"/>
  <c r="B185" i="4"/>
  <c r="A171" i="5"/>
  <c r="M70" i="4"/>
  <c r="A63" i="5"/>
  <c r="B12" i="4" s="1"/>
  <c r="A355" i="5"/>
  <c r="Q174" i="4" s="1"/>
  <c r="A23" i="5"/>
  <c r="B23" i="7"/>
  <c r="A360" i="5"/>
  <c r="S174" i="4"/>
  <c r="A217" i="5"/>
  <c r="B104" i="4" s="1"/>
  <c r="A223" i="5"/>
  <c r="B110" i="4" s="1"/>
  <c r="A219" i="5"/>
  <c r="B106" i="4"/>
  <c r="A225" i="5"/>
  <c r="B112" i="4"/>
  <c r="M159" i="4"/>
  <c r="A168" i="5"/>
  <c r="A312" i="4" s="1"/>
  <c r="A220" i="5"/>
  <c r="B107" i="4" s="1"/>
  <c r="A226" i="5"/>
  <c r="B113" i="4" s="1"/>
  <c r="B58" i="8"/>
  <c r="X77" i="4"/>
  <c r="J131" i="4"/>
  <c r="A87" i="5"/>
  <c r="V15" i="4" s="1"/>
  <c r="A114" i="5"/>
  <c r="S94" i="4" s="1"/>
  <c r="O39" i="4"/>
  <c r="A442" i="5"/>
  <c r="K34" i="11"/>
  <c r="A336" i="5"/>
  <c r="J173" i="4" s="1"/>
  <c r="A166" i="5"/>
  <c r="A310" i="4" s="1"/>
  <c r="A425" i="5"/>
  <c r="B18" i="11" s="1"/>
  <c r="A184" i="5"/>
  <c r="B62" i="8" s="1"/>
  <c r="X81" i="4" s="1"/>
  <c r="A205" i="5"/>
  <c r="K98" i="4"/>
  <c r="A399" i="5"/>
  <c r="B224" i="4" s="1"/>
  <c r="A146" i="5"/>
  <c r="B61" i="4" s="1"/>
  <c r="A56" i="5"/>
  <c r="M7" i="4"/>
  <c r="A246" i="5"/>
  <c r="AD175" i="4"/>
  <c r="A221" i="5"/>
  <c r="B108" i="4" s="1"/>
  <c r="A227" i="5"/>
  <c r="B114" i="4" s="1"/>
  <c r="A228" i="5"/>
  <c r="B115" i="4"/>
  <c r="A222" i="5"/>
  <c r="B109" i="4"/>
  <c r="AL180" i="4"/>
  <c r="AL183" i="4"/>
  <c r="I186" i="4"/>
  <c r="S147" i="4"/>
  <c r="AL184" i="4"/>
  <c r="S104" i="4"/>
  <c r="Z126" i="4"/>
  <c r="L124" i="4"/>
  <c r="J180" i="4" s="1"/>
  <c r="A299" i="4"/>
  <c r="A291" i="4"/>
  <c r="C64" i="8"/>
  <c r="I32" i="11"/>
  <c r="B212" i="4"/>
  <c r="B53" i="4"/>
  <c r="A272" i="4"/>
  <c r="A282" i="4"/>
  <c r="B46" i="8"/>
  <c r="B49" i="4"/>
  <c r="M169" i="4"/>
  <c r="M160" i="4"/>
  <c r="A413" i="5"/>
  <c r="A435" i="5"/>
  <c r="B38" i="11"/>
  <c r="A7" i="5"/>
  <c r="S4" i="4"/>
  <c r="A255" i="5"/>
  <c r="A261" i="5"/>
  <c r="B126" i="4"/>
  <c r="A450" i="5"/>
  <c r="B47" i="11" s="1"/>
  <c r="A111" i="5"/>
  <c r="N38" i="4" s="1"/>
  <c r="A102" i="5"/>
  <c r="M38" i="4" s="1"/>
  <c r="A30" i="5"/>
  <c r="B30" i="7" s="1"/>
  <c r="C42" i="8"/>
  <c r="B33" i="8"/>
  <c r="A352" i="5"/>
  <c r="A310" i="5"/>
  <c r="B167" i="4"/>
  <c r="A303" i="5"/>
  <c r="B159" i="4"/>
  <c r="A27" i="5"/>
  <c r="B27" i="7" s="1"/>
  <c r="A123" i="5"/>
  <c r="D41" i="4" s="1"/>
  <c r="A426" i="5"/>
  <c r="B20" i="11"/>
  <c r="A120" i="5"/>
  <c r="S39" i="4" s="1"/>
  <c r="A387" i="5"/>
  <c r="A245" i="5"/>
  <c r="A150" i="5"/>
  <c r="B31" i="8"/>
  <c r="A71" i="5"/>
  <c r="Y9" i="4"/>
  <c r="S2" i="4"/>
  <c r="M34" i="4"/>
  <c r="W150" i="4"/>
  <c r="C44" i="4"/>
  <c r="M87" i="4"/>
  <c r="W146" i="4"/>
  <c r="M124" i="4"/>
  <c r="M92" i="4"/>
  <c r="M73" i="4"/>
  <c r="K72" i="4"/>
  <c r="C12" i="8"/>
  <c r="A288" i="4"/>
  <c r="AD173" i="4"/>
  <c r="H39" i="4"/>
  <c r="B56" i="4"/>
  <c r="B49" i="8"/>
  <c r="C51" i="8"/>
  <c r="C19" i="8"/>
  <c r="A434" i="5"/>
  <c r="B36" i="11"/>
  <c r="A441" i="5"/>
  <c r="K32" i="11" s="1"/>
  <c r="A206" i="5"/>
  <c r="J98" i="4" s="1"/>
  <c r="A130" i="5"/>
  <c r="C59" i="8"/>
  <c r="C10" i="8"/>
  <c r="C49" i="8"/>
  <c r="M128" i="4"/>
  <c r="B77" i="4"/>
  <c r="B47" i="8"/>
  <c r="C61" i="8"/>
  <c r="C14" i="8"/>
  <c r="C13" i="8"/>
  <c r="C11" i="8"/>
  <c r="C62" i="8"/>
  <c r="C47" i="8"/>
  <c r="C48" i="8"/>
  <c r="C27" i="8"/>
  <c r="A32" i="5"/>
  <c r="B32" i="7"/>
  <c r="A437" i="5"/>
  <c r="I22" i="11" s="1"/>
  <c r="A37" i="5"/>
  <c r="C9" i="8"/>
  <c r="C53" i="8"/>
  <c r="C44" i="8"/>
  <c r="C46" i="8"/>
  <c r="C28" i="8"/>
  <c r="B45" i="4"/>
  <c r="C15" i="8"/>
  <c r="C22" i="8"/>
  <c r="B15" i="8"/>
  <c r="C33" i="8"/>
  <c r="C23" i="8"/>
  <c r="A293" i="4"/>
  <c r="A271" i="4"/>
  <c r="C24" i="8"/>
  <c r="W149" i="4"/>
  <c r="S149" i="4"/>
  <c r="C60" i="8"/>
  <c r="C25" i="8"/>
  <c r="B42" i="4"/>
  <c r="M162" i="4"/>
  <c r="I131" i="4"/>
  <c r="M167" i="4"/>
  <c r="B10" i="8"/>
  <c r="B43" i="4"/>
  <c r="C63" i="8"/>
  <c r="B24" i="8"/>
  <c r="C57" i="8"/>
  <c r="C31" i="8"/>
  <c r="C55" i="8"/>
  <c r="C17" i="8"/>
  <c r="C21" i="8"/>
  <c r="C41" i="8"/>
  <c r="C20" i="8"/>
  <c r="C32" i="8"/>
  <c r="C35" i="8"/>
  <c r="C58" i="8"/>
  <c r="C16" i="8"/>
  <c r="C26" i="8"/>
  <c r="C18" i="8"/>
  <c r="A322" i="4"/>
  <c r="B47" i="4"/>
  <c r="A278" i="4"/>
  <c r="B17" i="8"/>
  <c r="S153" i="4"/>
  <c r="A229" i="5"/>
  <c r="B116" i="4" s="1"/>
  <c r="C56" i="8"/>
  <c r="C50" i="8"/>
  <c r="C54" i="8"/>
  <c r="C8" i="8"/>
  <c r="C45" i="8"/>
  <c r="Z124" i="4"/>
  <c r="J183" i="4"/>
  <c r="C29" i="8"/>
  <c r="A4" i="5"/>
  <c r="C2" i="7" s="1"/>
  <c r="W100" i="4"/>
  <c r="W109" i="4" s="1"/>
  <c r="S100" i="4"/>
  <c r="D42" i="4"/>
  <c r="A294" i="4"/>
  <c r="AD174" i="4"/>
  <c r="B211" i="4"/>
  <c r="B52" i="4"/>
  <c r="B13" i="8"/>
  <c r="A273" i="4"/>
  <c r="AG183" i="4"/>
  <c r="O220" i="4" s="1"/>
  <c r="Z125" i="4"/>
  <c r="K118" i="4"/>
  <c r="Z118" i="4"/>
  <c r="E226" i="4"/>
  <c r="E225" i="4"/>
  <c r="E224" i="4"/>
  <c r="M74" i="4"/>
  <c r="M82" i="4"/>
  <c r="H181" i="4"/>
  <c r="L161" i="4"/>
  <c r="K163" i="4"/>
  <c r="L163" i="4" s="1"/>
  <c r="S105" i="4"/>
  <c r="S148" i="4"/>
  <c r="W148" i="4"/>
  <c r="J164" i="4"/>
  <c r="W145" i="4"/>
  <c r="S142" i="4"/>
  <c r="S155" i="4"/>
  <c r="O221" i="4"/>
  <c r="A308" i="4" l="1"/>
  <c r="B45" i="8"/>
  <c r="L159" i="4"/>
  <c r="H183" i="4"/>
  <c r="W158" i="4"/>
  <c r="Z203" i="4" s="1"/>
  <c r="L86" i="4"/>
  <c r="N89" i="4" s="1"/>
  <c r="F177" i="4" s="1"/>
  <c r="L87" i="4"/>
  <c r="H184" i="4"/>
  <c r="T81" i="4"/>
  <c r="B57" i="8"/>
  <c r="X76" i="4" s="1"/>
  <c r="A316" i="4"/>
  <c r="K70" i="4"/>
  <c r="K36" i="4"/>
  <c r="L164" i="4"/>
  <c r="L181" i="4"/>
  <c r="L185" i="4" s="1"/>
  <c r="H37" i="4"/>
  <c r="B21" i="8"/>
  <c r="A287" i="4"/>
  <c r="B53" i="8"/>
  <c r="B74" i="4"/>
  <c r="O88" i="4"/>
  <c r="O187" i="4"/>
  <c r="A320" i="4"/>
  <c r="B61" i="8"/>
  <c r="X80" i="4" s="1"/>
  <c r="N78" i="4"/>
  <c r="L82" i="4"/>
  <c r="O223" i="4"/>
  <c r="Z193" i="4"/>
  <c r="B26" i="8"/>
  <c r="A305" i="4"/>
  <c r="B42" i="8"/>
  <c r="M85" i="4"/>
  <c r="L38" i="4"/>
  <c r="O89" i="4"/>
  <c r="B63" i="4"/>
  <c r="G38" i="4"/>
  <c r="B19" i="8"/>
  <c r="K38" i="4"/>
  <c r="C37" i="8"/>
  <c r="C36" i="8"/>
  <c r="C39" i="8"/>
  <c r="C38" i="8"/>
  <c r="A197" i="5"/>
  <c r="B91" i="4" s="1"/>
  <c r="A189" i="5"/>
  <c r="A14" i="5"/>
  <c r="C12" i="7" s="1"/>
  <c r="A233" i="5"/>
  <c r="B120" i="4" s="1"/>
  <c r="A21" i="5"/>
  <c r="B21" i="7" s="1"/>
  <c r="A359" i="5"/>
  <c r="S173" i="4" s="1"/>
  <c r="A35" i="5"/>
  <c r="B35" i="7" s="1"/>
  <c r="R94" i="4"/>
  <c r="B34" i="8"/>
  <c r="A297" i="4"/>
  <c r="D62" i="4"/>
  <c r="D63" i="4"/>
  <c r="G1" i="7"/>
  <c r="L92" i="4"/>
  <c r="O93" i="4"/>
  <c r="M72" i="4"/>
  <c r="A292" i="4"/>
  <c r="A298" i="4"/>
  <c r="B35" i="8"/>
  <c r="Y42" i="4"/>
  <c r="R33" i="4"/>
  <c r="A140" i="5"/>
  <c r="A191" i="5"/>
  <c r="B84" i="4" s="1"/>
  <c r="A112" i="5"/>
  <c r="N39" i="4" s="1"/>
  <c r="A159" i="5"/>
  <c r="A321" i="4"/>
  <c r="L72" i="4"/>
  <c r="A231" i="5"/>
  <c r="E117" i="4" s="1"/>
  <c r="A433" i="5"/>
  <c r="B34" i="11" s="1"/>
  <c r="A62" i="5"/>
  <c r="M11" i="4" s="1"/>
  <c r="A234" i="5"/>
  <c r="B121" i="4" s="1"/>
  <c r="A341" i="5"/>
  <c r="N175" i="4" s="1"/>
  <c r="A38" i="5"/>
  <c r="A39" i="5"/>
  <c r="A373" i="5"/>
  <c r="C6" i="8" s="1"/>
  <c r="A402" i="5"/>
  <c r="N223" i="4" s="1"/>
  <c r="A407" i="5"/>
  <c r="A295" i="5"/>
  <c r="B149" i="4" s="1"/>
  <c r="M86" i="4"/>
  <c r="M122" i="4"/>
  <c r="L73" i="4"/>
  <c r="B50" i="8"/>
  <c r="A313" i="4"/>
  <c r="A279" i="5"/>
  <c r="B134" i="4" s="1"/>
  <c r="A258" i="5"/>
  <c r="Q99" i="4" s="1"/>
  <c r="A436" i="5"/>
  <c r="C40" i="8"/>
  <c r="M39" i="4"/>
  <c r="A176" i="5"/>
  <c r="A156" i="5"/>
  <c r="A427" i="5"/>
  <c r="B22" i="11" s="1"/>
  <c r="A75" i="5"/>
  <c r="AB9" i="4" s="1"/>
  <c r="A72" i="5"/>
  <c r="Y10" i="4" s="1"/>
  <c r="A283" i="5"/>
  <c r="B138" i="4" s="1"/>
  <c r="A89" i="5"/>
  <c r="B38" i="4" s="1"/>
  <c r="A431" i="5"/>
  <c r="B30" i="11" s="1"/>
  <c r="A343" i="5"/>
  <c r="A95" i="5"/>
  <c r="A405" i="5"/>
  <c r="A350" i="5"/>
  <c r="B194" i="4" s="1"/>
  <c r="A371" i="5"/>
  <c r="B2" i="8" s="1"/>
  <c r="A57" i="5"/>
  <c r="B8" i="4" s="1"/>
  <c r="A151" i="5"/>
  <c r="A334" i="5"/>
  <c r="A349" i="5"/>
  <c r="B196" i="4" s="1"/>
  <c r="A444" i="5"/>
  <c r="K28" i="11" s="1"/>
  <c r="A215" i="5"/>
  <c r="B102" i="4" s="1"/>
  <c r="A16" i="5"/>
  <c r="C14" i="7" s="1"/>
  <c r="A239" i="5"/>
  <c r="B206" i="4" s="1"/>
  <c r="A194" i="5"/>
  <c r="B87" i="4" s="1"/>
  <c r="A451" i="5"/>
  <c r="B48" i="11" s="1"/>
  <c r="A401" i="5"/>
  <c r="B226" i="4" s="1"/>
  <c r="A247" i="5"/>
  <c r="A29" i="5"/>
  <c r="B29" i="7" s="1"/>
  <c r="A76" i="5"/>
  <c r="AB10" i="4" s="1"/>
  <c r="A17" i="5"/>
  <c r="B16" i="7" s="1"/>
  <c r="A335" i="5"/>
  <c r="A422" i="5"/>
  <c r="B12" i="11" s="1"/>
  <c r="A266" i="5"/>
  <c r="F131" i="4" s="1"/>
  <c r="A367" i="5"/>
  <c r="A347" i="5"/>
  <c r="AD44" i="4" s="1"/>
  <c r="Z42" i="4" s="1"/>
  <c r="A315" i="5"/>
  <c r="Q129" i="4" s="1"/>
  <c r="A311" i="5"/>
  <c r="B168" i="4" s="1"/>
  <c r="A248" i="5"/>
  <c r="A394" i="5"/>
  <c r="B203" i="4" s="1"/>
  <c r="A163" i="5"/>
  <c r="A137" i="5"/>
  <c r="A22" i="5"/>
  <c r="B22" i="7" s="1"/>
  <c r="A208" i="5"/>
  <c r="L98" i="4" s="1"/>
  <c r="A97" i="5"/>
  <c r="A133" i="5"/>
  <c r="A238" i="5"/>
  <c r="A113" i="5"/>
  <c r="O38" i="4" s="1"/>
  <c r="A157" i="5"/>
  <c r="A158" i="5"/>
  <c r="A214" i="5"/>
  <c r="B101" i="4" s="1"/>
  <c r="A365" i="5"/>
  <c r="A372" i="5"/>
  <c r="B6" i="8" s="1"/>
  <c r="A363" i="5"/>
  <c r="Q189" i="4" s="1"/>
  <c r="A289" i="5"/>
  <c r="B144" i="4" s="1"/>
  <c r="A124" i="5"/>
  <c r="A81" i="5"/>
  <c r="B20" i="4" s="1"/>
  <c r="A127" i="5"/>
  <c r="A202" i="5"/>
  <c r="B96" i="4" s="1"/>
  <c r="A240" i="5"/>
  <c r="A385" i="5"/>
  <c r="A237" i="5"/>
  <c r="B124" i="4" s="1"/>
  <c r="A131" i="5"/>
  <c r="A185" i="5"/>
  <c r="B63" i="8" s="1"/>
  <c r="A318" i="5"/>
  <c r="A386" i="5"/>
  <c r="A286" i="5"/>
  <c r="B141" i="4" s="1"/>
  <c r="A410" i="5"/>
  <c r="A50" i="5"/>
  <c r="B46" i="7" s="1"/>
  <c r="A65" i="5"/>
  <c r="B14" i="4" s="1"/>
  <c r="A12" i="5"/>
  <c r="B13" i="7" s="1"/>
  <c r="A375" i="5"/>
  <c r="D5" i="8" s="1"/>
  <c r="A416" i="5"/>
  <c r="D2" i="11" s="1"/>
  <c r="A100" i="5"/>
  <c r="A384" i="5"/>
  <c r="AJ177" i="4" s="1"/>
  <c r="A101" i="5"/>
  <c r="A340" i="5"/>
  <c r="A8" i="5"/>
  <c r="A36" i="5"/>
  <c r="B36" i="7" s="1"/>
  <c r="A86" i="5"/>
  <c r="M33" i="4" s="1"/>
  <c r="A67" i="5"/>
  <c r="B15" i="4" s="1"/>
  <c r="A96" i="5"/>
  <c r="A98" i="5"/>
  <c r="A60" i="5"/>
  <c r="M10" i="4" s="1"/>
  <c r="A449" i="5"/>
  <c r="B46" i="11" s="1"/>
  <c r="A173" i="5"/>
  <c r="A242" i="5"/>
  <c r="C208" i="4" s="1"/>
  <c r="A93" i="5"/>
  <c r="A439" i="5"/>
  <c r="I28" i="11" s="1"/>
  <c r="A160" i="5"/>
  <c r="A270" i="5"/>
  <c r="I130" i="4" s="1"/>
  <c r="A381" i="5"/>
  <c r="C52" i="8" s="1"/>
  <c r="A443" i="5"/>
  <c r="K36" i="11" s="1"/>
  <c r="A135" i="5"/>
  <c r="A42" i="5"/>
  <c r="B38" i="7" s="1"/>
  <c r="A181" i="5"/>
  <c r="A235" i="5"/>
  <c r="B122" i="4" s="1"/>
  <c r="A80" i="5"/>
  <c r="B18" i="4" s="1"/>
  <c r="A178" i="5"/>
  <c r="B56" i="8" s="1"/>
  <c r="X75" i="4" s="1"/>
  <c r="T79" i="4" s="1"/>
  <c r="A294" i="5"/>
  <c r="B155" i="4" s="1"/>
  <c r="A290" i="5"/>
  <c r="B145" i="4" s="1"/>
  <c r="A90" i="5"/>
  <c r="A115" i="5"/>
  <c r="P38" i="4" s="1"/>
  <c r="A357" i="5"/>
  <c r="R174" i="4" s="1"/>
  <c r="A83" i="5"/>
  <c r="E33" i="4" s="1"/>
  <c r="A49" i="5"/>
  <c r="B45" i="7" s="1"/>
  <c r="A10" i="5"/>
  <c r="B11" i="7" s="1"/>
  <c r="A195" i="5"/>
  <c r="B88" i="4" s="1"/>
  <c r="A398" i="5"/>
  <c r="B223" i="4" s="1"/>
  <c r="A424" i="5"/>
  <c r="B16" i="11" s="1"/>
  <c r="A452" i="5"/>
  <c r="B49" i="11" s="1"/>
  <c r="A28" i="5"/>
  <c r="B28" i="7" s="1"/>
  <c r="A162" i="5"/>
  <c r="A269" i="5"/>
  <c r="A249" i="5"/>
  <c r="A209" i="5"/>
  <c r="L99" i="4" s="1"/>
  <c r="A121" i="5"/>
  <c r="A117" i="5"/>
  <c r="R38" i="4" s="1"/>
  <c r="A82" i="5"/>
  <c r="B31" i="4" s="1"/>
  <c r="A79" i="5"/>
  <c r="AB13" i="4" s="1"/>
  <c r="A409" i="5"/>
  <c r="A212" i="5"/>
  <c r="M133" i="4" s="1"/>
  <c r="A377" i="5"/>
  <c r="E6" i="8" s="1"/>
  <c r="A305" i="5"/>
  <c r="B161" i="4" s="1"/>
  <c r="A167" i="5"/>
  <c r="W141" i="4"/>
  <c r="W151" i="4"/>
  <c r="J162" i="4"/>
  <c r="AC42" i="4" l="1"/>
  <c r="AA42" i="4"/>
  <c r="AB42" i="4"/>
  <c r="J39" i="4"/>
  <c r="J73" i="4"/>
  <c r="H173" i="4"/>
  <c r="AJ180" i="4"/>
  <c r="B40" i="8"/>
  <c r="A303" i="4"/>
  <c r="M130" i="4"/>
  <c r="H130" i="4"/>
  <c r="K71" i="4"/>
  <c r="K37" i="4"/>
  <c r="A301" i="4"/>
  <c r="B38" i="8"/>
  <c r="I20" i="11"/>
  <c r="I18" i="11"/>
  <c r="Z43" i="4"/>
  <c r="A289" i="4"/>
  <c r="B57" i="4"/>
  <c r="B23" i="8"/>
  <c r="J71" i="4"/>
  <c r="J37" i="4"/>
  <c r="B20" i="8"/>
  <c r="A286" i="4"/>
  <c r="B54" i="4"/>
  <c r="B32" i="8"/>
  <c r="A295" i="4"/>
  <c r="A318" i="4"/>
  <c r="B59" i="8"/>
  <c r="X78" i="4" s="1"/>
  <c r="T80" i="4" s="1"/>
  <c r="A274" i="4"/>
  <c r="B51" i="4"/>
  <c r="B14" i="8"/>
  <c r="B214" i="4"/>
  <c r="AD177" i="4"/>
  <c r="H182" i="4"/>
  <c r="F179" i="4"/>
  <c r="L85" i="4"/>
  <c r="J184" i="4"/>
  <c r="B41" i="8"/>
  <c r="A304" i="4"/>
  <c r="A302" i="4"/>
  <c r="B39" i="8"/>
  <c r="T78" i="4"/>
  <c r="A307" i="4"/>
  <c r="B44" i="8"/>
  <c r="H38" i="4"/>
  <c r="H72" i="4"/>
  <c r="F72" i="4"/>
  <c r="F38" i="4"/>
  <c r="R34" i="4"/>
  <c r="Y43" i="4"/>
  <c r="B48" i="4"/>
  <c r="A279" i="4"/>
  <c r="B18" i="8"/>
  <c r="F74" i="4" s="1"/>
  <c r="B76" i="4"/>
  <c r="B51" i="8"/>
  <c r="A277" i="4"/>
  <c r="B16" i="8"/>
  <c r="B46" i="4"/>
  <c r="K73" i="4"/>
  <c r="K39" i="4"/>
  <c r="AD176" i="4"/>
  <c r="B213" i="4"/>
  <c r="B54" i="8"/>
  <c r="B75" i="4"/>
  <c r="AD178" i="4"/>
  <c r="B215" i="4"/>
  <c r="B44" i="4"/>
  <c r="B11" i="8"/>
  <c r="K74" i="4" s="1"/>
  <c r="K63" i="4"/>
  <c r="A306" i="4"/>
  <c r="B43" i="8"/>
  <c r="L162" i="4"/>
  <c r="J181" i="4"/>
  <c r="B8" i="8"/>
  <c r="B41" i="4"/>
  <c r="F41" i="4" s="1"/>
  <c r="A270" i="4"/>
  <c r="AJ181" i="4"/>
  <c r="H174" i="4"/>
  <c r="A311" i="4"/>
  <c r="B48" i="8"/>
  <c r="AJ183" i="4"/>
  <c r="N173" i="4"/>
  <c r="J38" i="4"/>
  <c r="J72" i="4"/>
  <c r="I73" i="4"/>
  <c r="I39" i="4"/>
  <c r="B62" i="4"/>
  <c r="A300" i="4"/>
  <c r="B37" i="8"/>
  <c r="L128" i="4" l="1"/>
  <c r="L166" i="4" s="1"/>
  <c r="W167" i="4"/>
  <c r="F48" i="4"/>
  <c r="K48" i="4"/>
  <c r="K57" i="4"/>
  <c r="F57" i="4"/>
  <c r="K46" i="4"/>
  <c r="F46" i="4"/>
  <c r="K62" i="4"/>
  <c r="F62" i="4"/>
  <c r="F75" i="4"/>
  <c r="K75" i="4"/>
  <c r="K54" i="4"/>
  <c r="F54" i="4"/>
  <c r="AB44" i="4"/>
  <c r="T181" i="4" s="1"/>
  <c r="T185" i="4" s="1"/>
  <c r="F44" i="4"/>
  <c r="K44" i="4"/>
  <c r="J185" i="4"/>
  <c r="AC43" i="4"/>
  <c r="AA43" i="4"/>
  <c r="AB43" i="4"/>
  <c r="AA44" i="4"/>
  <c r="F79" i="4"/>
  <c r="F58" i="4"/>
  <c r="K60" i="4"/>
  <c r="K58" i="4"/>
  <c r="F53" i="4"/>
  <c r="K59" i="4"/>
  <c r="F80" i="4"/>
  <c r="F77" i="4"/>
  <c r="K47" i="4"/>
  <c r="F59" i="4"/>
  <c r="F78" i="4"/>
  <c r="F47" i="4"/>
  <c r="F49" i="4"/>
  <c r="F60" i="4"/>
  <c r="F52" i="4"/>
  <c r="K43" i="4"/>
  <c r="F81" i="4"/>
  <c r="F55" i="4"/>
  <c r="K49" i="4"/>
  <c r="K55" i="4"/>
  <c r="F56" i="4"/>
  <c r="K52" i="4"/>
  <c r="K77" i="4"/>
  <c r="F43" i="4"/>
  <c r="K56" i="4"/>
  <c r="K50" i="4"/>
  <c r="K45" i="4"/>
  <c r="K53" i="4"/>
  <c r="F45" i="4"/>
  <c r="F42" i="4"/>
  <c r="F50" i="4"/>
  <c r="F63" i="4"/>
  <c r="F76" i="4"/>
  <c r="K76" i="4"/>
  <c r="F51" i="4"/>
  <c r="K51" i="4"/>
  <c r="AC44" i="4"/>
  <c r="Q178" i="4" l="1"/>
  <c r="Q177" i="4"/>
  <c r="Q179" i="4"/>
  <c r="R182" i="4"/>
  <c r="L168" i="4"/>
  <c r="L167" i="4"/>
  <c r="F178" i="4" s="1"/>
  <c r="F185" i="4" s="1"/>
  <c r="I185" i="4" l="1"/>
  <c r="O185" i="4"/>
  <c r="M185" i="4"/>
  <c r="Q195" i="4"/>
  <c r="R194" i="4"/>
  <c r="T194" i="4"/>
  <c r="Q185" i="4"/>
  <c r="S194" i="4"/>
  <c r="R195" i="4"/>
  <c r="T195" i="4"/>
  <c r="T196" i="4" s="1"/>
  <c r="Q194" i="4"/>
  <c r="S195" i="4"/>
  <c r="S196" i="4" s="1"/>
  <c r="L169" i="4"/>
  <c r="L118" i="4" s="1"/>
  <c r="K185" i="4"/>
  <c r="L122" i="4" l="1"/>
  <c r="L123" i="4"/>
  <c r="H180" i="4" s="1"/>
  <c r="H185" i="4" s="1"/>
  <c r="F187" i="4" s="1"/>
  <c r="F119" i="4"/>
  <c r="T186" i="4"/>
  <c r="R186" i="4"/>
  <c r="S186" i="4"/>
  <c r="R185" i="4"/>
  <c r="R196" i="4" s="1"/>
  <c r="AA187" i="4"/>
  <c r="Z187" i="4"/>
  <c r="Z185" i="4"/>
  <c r="AA185" i="4"/>
  <c r="Q196" i="4"/>
  <c r="AA183" i="4"/>
  <c r="Z184" i="4"/>
  <c r="Z183" i="4"/>
  <c r="Z186" i="4" s="1"/>
  <c r="AA184" i="4"/>
  <c r="AA200" i="4" l="1"/>
  <c r="Z200" i="4"/>
  <c r="AA186" i="4"/>
  <c r="O189" i="4" s="1"/>
  <c r="Z192" i="4" s="1"/>
  <c r="Z204" i="4"/>
  <c r="R180" i="4"/>
  <c r="Z198" i="4"/>
  <c r="AA198" i="4"/>
  <c r="AA199" i="4"/>
  <c r="Z199" i="4"/>
  <c r="Z201" i="4" l="1"/>
  <c r="O226" i="4"/>
  <c r="AA201" i="4"/>
  <c r="T189" i="4" s="1"/>
  <c r="Z194" i="4" s="1"/>
  <c r="O224" i="4"/>
  <c r="N227" i="4"/>
  <c r="N2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03A898BD-3E14-4682-9938-A331287303D0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<sst xmlns="http://schemas.openxmlformats.org/spreadsheetml/2006/main" count="1842" uniqueCount="1452">
  <si>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</si>
  <si>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</si>
  <si>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</si>
  <si>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</si>
  <si>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</si>
  <si>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</si>
  <si>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</si>
  <si>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</si>
  <si>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</si>
  <si>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</si>
  <si>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</si>
  <si>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</si>
  <si>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</si>
  <si>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</si>
  <si>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</si>
  <si>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</si>
  <si>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</si>
  <si>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</si>
  <si>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</si>
  <si>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</si>
  <si>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</si>
  <si>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</si>
  <si>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</si>
  <si>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</si>
  <si>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</si>
  <si>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</si>
  <si>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</si>
  <si>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</si>
  <si>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</si>
  <si>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</si>
  <si>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</si>
  <si>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</si>
  <si>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</si>
  <si>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</si>
  <si>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</si>
  <si>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</si>
  <si>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</si>
  <si>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</si>
  <si>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</si>
  <si>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</si>
  <si>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</si>
  <si>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</si>
  <si>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</si>
  <si>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</si>
  <si>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</si>
  <si>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</si>
  <si>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</si>
  <si>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</si>
  <si>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</si>
  <si>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</si>
  <si>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</si>
  <si>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</si>
  <si>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</si>
  <si>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</si>
  <si>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</si>
  <si>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</si>
  <si>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</si>
  <si>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</si>
  <si>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</si>
  <si>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</si>
  <si>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</si>
  <si>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</si>
  <si>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</si>
  <si>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</si>
  <si>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</si>
  <si>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</si>
  <si>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</si>
  <si>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</si>
  <si>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</si>
  <si>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</si>
  <si>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</si>
  <si>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</si>
  <si>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</si>
  <si>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</si>
  <si>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</si>
  <si>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</si>
  <si>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</si>
  <si>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</si>
  <si>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</si>
  <si>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</si>
  <si>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</si>
  <si>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</si>
  <si>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</si>
  <si>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</si>
  <si>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</si>
  <si>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</si>
  <si>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</si>
  <si>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</si>
  <si>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</si>
  <si>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</si>
  <si>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</si>
  <si>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</si>
  <si>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</si>
  <si>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</si>
  <si>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</si>
  <si>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</si>
  <si>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</si>
  <si>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</si>
  <si>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</si>
  <si>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</si>
  <si>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</si>
  <si>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</si>
  <si>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</si>
  <si>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</si>
  <si>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</si>
  <si>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</si>
  <si>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</si>
  <si>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</si>
  <si>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</si>
  <si>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</si>
  <si>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</si>
  <si>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</si>
  <si>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</si>
  <si>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</si>
  <si>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</si>
  <si>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</si>
  <si>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</si>
  <si>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</si>
  <si>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</si>
  <si>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</si>
  <si>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</si>
  <si>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</si>
  <si>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</si>
  <si>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</si>
  <si>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</si>
  <si>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</si>
  <si>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</si>
  <si>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</si>
  <si>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</si>
  <si>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</si>
  <si>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</si>
  <si>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</si>
  <si>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</si>
  <si>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</si>
  <si>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</si>
  <si>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</si>
  <si>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</si>
  <si>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</si>
  <si>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</si>
  <si>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</si>
  <si>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</si>
  <si>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</si>
  <si>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</si>
  <si>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</si>
  <si>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</si>
  <si>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</si>
  <si>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</si>
  <si>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</si>
  <si>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</si>
  <si>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</si>
  <si>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</si>
  <si>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</si>
  <si>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</si>
  <si>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</si>
  <si>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</si>
  <si>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</si>
  <si>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</si>
  <si>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</si>
  <si>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</si>
  <si>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</si>
  <si>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</si>
  <si>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</si>
  <si>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</si>
  <si>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</si>
  <si>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</si>
  <si>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</si>
  <si>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</si>
  <si>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</si>
  <si>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</si>
  <si>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</si>
  <si>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</si>
  <si>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</si>
  <si>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</si>
  <si>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</si>
  <si>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</si>
  <si>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</si>
  <si>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</si>
  <si>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</si>
  <si>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</si>
  <si>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</si>
  <si>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</si>
  <si>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</si>
  <si>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</si>
  <si>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</si>
  <si>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</si>
  <si>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</si>
  <si>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</si>
  <si>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</si>
  <si>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</si>
  <si>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</si>
  <si>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</si>
  <si>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</si>
  <si>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</si>
  <si>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</si>
  <si>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</si>
  <si>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</si>
  <si>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</si>
  <si>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</si>
  <si>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</si>
  <si>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</si>
  <si>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</si>
  <si>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</si>
  <si>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</si>
  <si>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</si>
  <si>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</si>
  <si>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</si>
  <si>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</si>
  <si>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</si>
  <si>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</si>
  <si>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</si>
  <si>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</si>
  <si>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</si>
  <si>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</si>
  <si>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</si>
  <si>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</si>
  <si>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</si>
  <si>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</si>
  <si>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</si>
  <si>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</si>
  <si>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</si>
  <si>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</si>
  <si>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</si>
  <si>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</si>
  <si>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</si>
  <si>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</si>
  <si>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</si>
  <si>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</si>
  <si>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</si>
  <si>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</si>
  <si>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</si>
  <si>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</si>
  <si>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</si>
  <si>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</si>
  <si>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</si>
  <si>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</si>
  <si>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</si>
  <si>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</si>
  <si>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</si>
  <si>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</si>
  <si>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</si>
  <si>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</si>
  <si>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</si>
  <si>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</si>
  <si>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</si>
  <si>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</si>
  <si>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</si>
  <si>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</si>
  <si>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</si>
  <si>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</si>
  <si>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</si>
  <si>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</si>
  <si>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</si>
  <si>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</si>
  <si>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</si>
  <si>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</si>
  <si>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</si>
  <si>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</si>
  <si>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</si>
  <si>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</si>
  <si>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</si>
  <si>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</si>
  <si>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</si>
  <si>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</si>
  <si>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</si>
  <si>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</si>
  <si>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</si>
  <si>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</si>
  <si>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</si>
  <si>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</si>
  <si>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</si>
  <si>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</si>
  <si>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</si>
  <si>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</si>
  <si>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</si>
  <si>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</si>
  <si>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</si>
  <si>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</si>
  <si>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</si>
  <si>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</si>
  <si>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</si>
  <si>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</si>
  <si>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</si>
  <si>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</si>
  <si>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</si>
  <si>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</si>
  <si>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</si>
  <si>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</si>
  <si>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</si>
  <si>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</si>
  <si>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</si>
  <si>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</si>
  <si>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</si>
  <si>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</si>
  <si>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</si>
  <si>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</si>
  <si>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</si>
  <si>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</si>
  <si>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</si>
  <si>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</si>
  <si>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</si>
  <si>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</si>
  <si>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</si>
  <si>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</si>
  <si>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</si>
  <si>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</si>
  <si>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</si>
  <si>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</si>
  <si>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</si>
  <si>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</si>
  <si>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</si>
  <si>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</si>
  <si>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</si>
  <si>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</si>
  <si>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</si>
  <si>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</si>
  <si>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</si>
  <si>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</si>
  <si>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</si>
  <si>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</si>
  <si>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</si>
  <si>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</si>
  <si>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</si>
  <si>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</si>
  <si>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</si>
  <si>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</si>
  <si>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</si>
  <si>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</si>
  <si>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</si>
  <si>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</si>
  <si>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</si>
  <si>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</si>
  <si>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</si>
  <si>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</si>
  <si>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</si>
  <si>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</si>
  <si>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</si>
  <si>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</si>
  <si>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</si>
  <si>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</si>
  <si>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</si>
  <si>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</si>
  <si>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</si>
  <si>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</si>
  <si>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</si>
  <si>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</si>
  <si>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</si>
  <si>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</si>
  <si>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</si>
  <si>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</si>
  <si>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</si>
  <si>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</si>
  <si>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</si>
  <si>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</si>
  <si>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</si>
  <si>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</si>
  <si>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</si>
  <si>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</si>
  <si>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</si>
  <si>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</si>
  <si>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</si>
  <si>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</si>
  <si>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</si>
  <si>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</si>
  <si>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</si>
  <si>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</si>
  <si>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</si>
  <si>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</si>
  <si>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</si>
  <si>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</si>
  <si>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</si>
  <si>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</si>
  <si>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</si>
  <si>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</si>
  <si>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</si>
  <si>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</si>
  <si>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</si>
  <si>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</si>
  <si>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</si>
  <si>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</si>
  <si>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</si>
  <si>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</si>
  <si>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</si>
  <si>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</si>
  <si>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</si>
  <si>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</si>
  <si>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</si>
  <si>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</si>
  <si>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</si>
  <si>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</si>
  <si>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</si>
  <si>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</si>
  <si>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</si>
  <si>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</si>
  <si>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</si>
  <si>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</si>
  <si>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</si>
  <si>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</si>
  <si>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</si>
  <si>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</si>
  <si>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</si>
  <si>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</si>
  <si>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</si>
  <si>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</si>
  <si>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</si>
  <si>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</si>
  <si>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</si>
  <si>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</si>
  <si>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</si>
  <si>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</si>
  <si>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</si>
  <si>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</si>
  <si>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</si>
  <si>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</si>
  <si>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</si>
  <si>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</si>
  <si>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</si>
  <si>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</si>
  <si>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</si>
  <si>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</si>
  <si>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</si>
  <si>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</si>
  <si>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</si>
  <si>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</si>
  <si>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</si>
  <si>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</si>
  <si>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</si>
  <si>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</si>
  <si>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</si>
  <si>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</si>
  <si>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</si>
  <si>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</si>
  <si>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</si>
  <si>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</si>
  <si>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</si>
  <si>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</si>
  <si>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</si>
  <si>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</si>
  <si>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</si>
  <si>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</si>
  <si>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</si>
  <si>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</si>
  <si>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</si>
  <si>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</si>
  <si>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</si>
  <si>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</si>
  <si>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</si>
  <si>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</si>
  <si>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</si>
  <si>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</si>
  <si>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</si>
  <si>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</si>
  <si>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</si>
  <si>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</si>
  <si>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</si>
  <si>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</si>
  <si>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</si>
  <si>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</si>
  <si>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</si>
  <si>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</si>
  <si>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</si>
  <si>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</si>
  <si>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</si>
  <si>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</si>
  <si>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</si>
  <si>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</si>
  <si>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</si>
  <si>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</si>
  <si>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</si>
  <si>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</si>
  <si>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</si>
  <si>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</si>
  <si>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</si>
  <si>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</si>
  <si>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</si>
  <si>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</si>
  <si>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</si>
  <si>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</si>
  <si>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</si>
  <si>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</si>
  <si>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</si>
  <si>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</si>
  <si>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</si>
  <si>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</si>
  <si>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</si>
  <si>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</si>
  <si>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</si>
  <si>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</si>
  <si>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</si>
  <si>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</si>
  <si>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</si>
  <si>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</si>
  <si>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</si>
  <si>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</si>
  <si>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</si>
  <si>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</si>
  <si>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</si>
  <si>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</si>
  <si>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</si>
  <si>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</si>
  <si>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</si>
  <si>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</si>
  <si>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</si>
  <si>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</si>
  <si>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</si>
  <si>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</si>
  <si>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</si>
  <si>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</si>
  <si>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</si>
  <si>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</si>
  <si>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</si>
  <si>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</si>
  <si>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</si>
  <si>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</si>
  <si>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</si>
  <si>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</si>
  <si>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</si>
  <si>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</si>
  <si>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</si>
  <si>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</si>
  <si>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</si>
  <si>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</si>
  <si>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</si>
  <si>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</si>
  <si>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</si>
  <si>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</si>
  <si>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</si>
  <si>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</si>
  <si>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</si>
  <si>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</si>
  <si>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</si>
  <si>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</si>
  <si>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</si>
  <si>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</si>
  <si>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</si>
  <si>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</si>
  <si>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</si>
  <si>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</si>
  <si>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</si>
  <si>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</si>
  <si>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</si>
  <si>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</si>
  <si>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</si>
  <si>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</si>
  <si>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</si>
  <si>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</si>
  <si>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</si>
  <si>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</si>
  <si>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</si>
  <si>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</si>
  <si>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</si>
  <si>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</si>
  <si>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</si>
  <si>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</si>
  <si>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</si>
  <si>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</si>
  <si>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</si>
  <si>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</si>
  <si>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</si>
  <si>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</si>
  <si>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</si>
  <si>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</si>
  <si>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</si>
  <si>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</si>
  <si>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</si>
  <si>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</si>
  <si>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</si>
  <si>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</si>
  <si>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</si>
  <si>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</si>
  <si>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</si>
  <si>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</si>
  <si>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</si>
  <si>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</si>
  <si>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</si>
  <si>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</si>
  <si>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</si>
  <si>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</si>
  <si>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</si>
  <si>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</si>
  <si>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</si>
  <si>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</si>
  <si>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</si>
  <si>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</si>
  <si>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</si>
  <si>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</si>
  <si>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</si>
  <si>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</si>
  <si>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</si>
  <si>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</si>
  <si>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</si>
  <si>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</si>
  <si>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</si>
  <si>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</si>
  <si>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</si>
  <si>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</si>
  <si>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</si>
  <si>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</si>
  <si>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</si>
  <si>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</si>
  <si>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</si>
  <si>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</si>
  <si>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</si>
  <si>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</si>
  <si>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</si>
  <si>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</si>
  <si>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</si>
  <si>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</si>
  <si>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</si>
  <si>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</si>
  <si>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</si>
  <si>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</si>
  <si>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</si>
  <si>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</si>
  <si>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</si>
  <si>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</si>
  <si>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</si>
  <si>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</si>
  <si>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</si>
  <si>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</si>
  <si>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</si>
  <si>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</si>
  <si>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</si>
  <si>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</si>
  <si>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</si>
  <si>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</si>
  <si>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</si>
  <si>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</si>
  <si>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</si>
  <si>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</si>
  <si>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</si>
  <si>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</si>
  <si>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</si>
  <si>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</si>
  <si>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</si>
  <si>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</si>
  <si>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</si>
  <si>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</si>
  <si>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</si>
  <si>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</si>
  <si>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</si>
  <si>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</si>
  <si>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</si>
  <si>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</si>
  <si>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</si>
  <si>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</si>
  <si>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</si>
  <si>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</si>
  <si>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</si>
  <si>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</si>
  <si>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</si>
  <si>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</si>
  <si>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</si>
  <si>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</si>
  <si>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</si>
  <si>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</si>
  <si>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</si>
  <si>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</si>
  <si>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</si>
  <si>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</si>
  <si>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</si>
  <si>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</si>
  <si>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</si>
  <si>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</si>
  <si>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</si>
  <si>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</si>
  <si>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</si>
  <si>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</si>
  <si>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</si>
  <si>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</si>
  <si>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</si>
  <si>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</si>
  <si>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</si>
  <si>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</si>
  <si>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</si>
  <si>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</si>
  <si>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</si>
  <si>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</si>
  <si>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</si>
  <si>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</si>
  <si>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</si>
  <si>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</si>
  <si>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</si>
  <si>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</si>
  <si>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</si>
  <si>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</si>
  <si>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</si>
  <si>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</si>
  <si>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</si>
  <si>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</si>
  <si>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</si>
  <si>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</si>
  <si>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</si>
  <si>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</si>
  <si>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</si>
  <si>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</si>
  <si>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</si>
  <si>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</si>
  <si>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</si>
  <si>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</si>
  <si>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</si>
  <si>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</si>
  <si>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</si>
  <si>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</si>
  <si>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</si>
  <si>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</si>
  <si>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</si>
  <si>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</si>
  <si>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</si>
  <si>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</si>
  <si>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</si>
  <si>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</si>
  <si>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</si>
  <si>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</si>
  <si>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</si>
  <si>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</si>
  <si>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</si>
  <si>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</si>
  <si>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</si>
  <si>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</si>
  <si>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</si>
  <si>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</si>
  <si>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</si>
  <si>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</si>
  <si>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</si>
  <si>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</si>
  <si>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</si>
  <si>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</si>
  <si>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</si>
  <si>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</si>
  <si>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</si>
  <si>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</si>
  <si>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</si>
  <si>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</si>
  <si>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</si>
  <si>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</si>
  <si>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</si>
  <si>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</si>
  <si>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</si>
  <si>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</si>
  <si>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</si>
  <si>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</si>
  <si>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</si>
  <si>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</si>
  <si>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</si>
  <si>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</si>
  <si>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</si>
  <si>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</si>
  <si>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</si>
  <si>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</si>
  <si>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</si>
  <si>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</si>
  <si>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</si>
  <si>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</si>
  <si>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</si>
  <si>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</si>
  <si>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</si>
  <si>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</si>
  <si>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</si>
  <si>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</si>
  <si>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</si>
  <si>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</si>
  <si>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</si>
  <si>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</si>
  <si>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</si>
  <si>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</si>
  <si>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</si>
  <si>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</si>
  <si>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</si>
  <si>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</si>
  <si>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</si>
  <si>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</si>
  <si>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</si>
  <si>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</si>
  <si>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</si>
  <si>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</si>
  <si>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</si>
  <si>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</si>
  <si>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</si>
  <si>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</si>
  <si>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</si>
  <si>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</si>
  <si>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</si>
  <si>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</si>
  <si>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</si>
  <si>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</si>
  <si>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</si>
  <si>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</si>
  <si>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</si>
  <si>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</si>
  <si>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</si>
  <si>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</si>
  <si>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</si>
  <si>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</si>
  <si>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</si>
  <si>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</si>
  <si>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</si>
  <si>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</si>
  <si>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</si>
  <si>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</si>
  <si>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</si>
  <si>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</si>
  <si>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</si>
  <si>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</si>
  <si>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</si>
  <si>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</si>
  <si>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</si>
  <si>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</si>
  <si>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</si>
  <si>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</si>
  <si>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</si>
  <si>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</si>
  <si>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</si>
  <si>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</si>
  <si>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</si>
  <si>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</si>
  <si>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</si>
  <si>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</si>
  <si>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</si>
  <si>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</si>
  <si>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</si>
  <si>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</si>
  <si>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</si>
  <si>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</si>
  <si>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</si>
  <si>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</si>
  <si>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</si>
  <si>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</si>
  <si>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</si>
  <si>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</si>
  <si>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</si>
  <si>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</si>
  <si>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</si>
  <si>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</si>
  <si>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</si>
  <si>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</si>
  <si>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</si>
  <si>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</si>
  <si>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</si>
  <si>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</si>
  <si>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</si>
  <si>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</si>
  <si>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</si>
  <si>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</si>
  <si>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</si>
  <si>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</si>
  <si>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</si>
  <si>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</si>
  <si>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</si>
  <si>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</si>
  <si>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</si>
  <si>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</si>
  <si>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</si>
  <si>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</si>
  <si>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</si>
  <si>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</si>
  <si>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</si>
  <si>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</si>
  <si>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</si>
  <si>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</si>
  <si>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</si>
  <si>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</si>
  <si>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</si>
  <si>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</si>
  <si>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</si>
  <si>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</si>
  <si>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</si>
  <si>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</si>
  <si>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</si>
  <si>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</si>
  <si>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</si>
  <si>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</si>
  <si>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</si>
  <si>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</si>
  <si>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</si>
  <si>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</si>
  <si>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</si>
  <si>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</si>
  <si>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</si>
  <si>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</si>
  <si>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</si>
  <si>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</si>
  <si>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</si>
  <si>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</si>
  <si>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</si>
  <si>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</si>
  <si>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</si>
  <si>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</si>
  <si>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</si>
  <si>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</si>
  <si>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</si>
  <si>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</si>
  <si>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</si>
  <si>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</si>
  <si>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</si>
  <si>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</si>
  <si>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</si>
  <si>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</si>
  <si>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</si>
  <si>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</si>
  <si>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</si>
  <si>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</si>
  <si>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</si>
  <si>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</si>
  <si>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</si>
  <si>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</si>
  <si>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</si>
  <si>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</si>
  <si>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</si>
  <si>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</si>
  <si>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</si>
  <si>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</si>
  <si>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</si>
  <si>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</si>
  <si>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</si>
  <si>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</si>
  <si>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</si>
  <si>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</si>
  <si>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</si>
  <si>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</si>
  <si>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</si>
  <si>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</si>
  <si>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</si>
  <si>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</si>
  <si>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</si>
  <si>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</si>
  <si>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</si>
  <si>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</si>
  <si>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</si>
  <si>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</si>
  <si>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</si>
  <si>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</si>
  <si>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</si>
  <si>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</si>
  <si>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</si>
  <si>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</si>
  <si>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</si>
  <si>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</si>
  <si>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</si>
  <si>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</si>
  <si>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</si>
  <si>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</si>
  <si>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</si>
  <si>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</si>
  <si>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</si>
  <si>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</si>
  <si>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</si>
  <si>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</si>
  <si>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</si>
  <si>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</si>
  <si>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</si>
  <si>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</si>
  <si>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</si>
  <si>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</si>
  <si>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</si>
  <si>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</si>
  <si>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</si>
  <si>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</si>
  <si>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</si>
  <si>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</si>
  <si>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</si>
  <si>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</si>
  <si>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</si>
  <si>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</si>
  <si>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</si>
  <si>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</si>
  <si>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</si>
  <si>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</si>
  <si>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</si>
  <si>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</si>
  <si>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</si>
  <si>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</si>
  <si>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</si>
  <si>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</si>
  <si>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</si>
  <si>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</si>
  <si>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</si>
  <si>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</si>
  <si>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</si>
  <si>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</si>
  <si>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</si>
  <si>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</si>
  <si>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</si>
  <si>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</si>
  <si>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</si>
  <si>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</si>
  <si>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</si>
  <si>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</si>
  <si>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</si>
  <si>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</si>
  <si>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</si>
  <si>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</si>
  <si>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</si>
  <si>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</si>
  <si>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</si>
  <si>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</si>
  <si>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</si>
  <si>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</si>
  <si>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</si>
  <si>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</si>
  <si>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</si>
  <si>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</si>
  <si>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</si>
  <si>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</si>
  <si>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</si>
  <si>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</si>
  <si>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</si>
  <si>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</si>
  <si>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</si>
  <si>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</si>
  <si>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</si>
  <si>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</si>
  <si>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</si>
  <si>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</si>
  <si>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</si>
  <si>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</si>
  <si>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</si>
  <si>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</si>
  <si>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</si>
  <si>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</si>
  <si>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</si>
  <si>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</si>
  <si>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</si>
  <si>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</si>
  <si>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</si>
  <si>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</si>
  <si>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</si>
  <si>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</si>
  <si>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</si>
  <si>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</si>
  <si>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</si>
  <si>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</si>
  <si>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</si>
  <si>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</si>
  <si>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</si>
  <si>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</si>
  <si>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</si>
  <si>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</si>
  <si>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</si>
  <si>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</si>
  <si>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</si>
  <si>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</si>
  <si>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</si>
  <si>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</si>
  <si>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</si>
  <si>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</si>
  <si>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</si>
  <si>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</si>
  <si>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</si>
  <si>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</si>
  <si>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</si>
  <si>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</si>
  <si>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</si>
  <si>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</si>
  <si>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</si>
  <si>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</si>
  <si>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</si>
  <si>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</si>
  <si>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</si>
  <si>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</si>
  <si>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</si>
  <si>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</si>
  <si>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</si>
  <si>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</si>
  <si>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</si>
  <si>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</si>
  <si>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</si>
  <si>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</si>
  <si>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</si>
  <si>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</si>
  <si>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</si>
  <si>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</si>
  <si>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</si>
  <si>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</si>
  <si>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</si>
  <si>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</si>
  <si>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</si>
  <si>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</si>
  <si>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</si>
  <si>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</si>
  <si>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</si>
  <si>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</si>
  <si>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</si>
  <si>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</si>
  <si>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</si>
  <si>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</si>
  <si>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</si>
  <si>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</si>
  <si>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</si>
  <si>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</si>
  <si>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</si>
  <si>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</si>
  <si>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</si>
  <si>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</si>
  <si>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</si>
  <si>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</si>
  <si>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</si>
  <si>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</si>
  <si>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</si>
  <si>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</si>
  <si>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</si>
  <si>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</si>
  <si>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</si>
  <si>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</si>
  <si>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</si>
  <si>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</si>
  <si>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</si>
  <si>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</si>
  <si>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</si>
  <si>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</si>
  <si>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</si>
  <si>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</si>
  <si>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</si>
  <si>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</si>
  <si>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</si>
  <si>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</si>
  <si>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</si>
  <si>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</si>
  <si>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</si>
  <si>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</si>
  <si>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</si>
  <si>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</si>
  <si>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</si>
  <si>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</si>
  <si>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</si>
  <si>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</si>
  <si>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</si>
  <si>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</si>
  <si>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</si>
  <si>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</si>
  <si>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</si>
  <si>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</si>
  <si>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</si>
  <si>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</si>
  <si>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</si>
  <si>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</si>
  <si>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</si>
  <si>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</si>
  <si>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</si>
  <si>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</si>
  <si>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</si>
  <si>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</si>
  <si>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</si>
  <si>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</si>
  <si>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</si>
  <si>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</si>
  <si>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</si>
  <si>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</si>
  <si>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</si>
  <si>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</si>
  <si>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</si>
  <si>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</si>
  <si>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</si>
  <si>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</si>
  <si>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</si>
  <si>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</si>
  <si>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</si>
  <si>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</si>
  <si>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</si>
  <si>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</si>
  <si>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</si>
  <si>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</si>
  <si>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</si>
  <si>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</si>
  <si>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</si>
  <si>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</si>
  <si>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</si>
  <si>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</si>
  <si>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</si>
  <si>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</si>
  <si>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</si>
  <si>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</si>
  <si>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</si>
  <si>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</si>
  <si>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</si>
  <si>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</si>
  <si>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</si>
  <si>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</si>
  <si>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</si>
  <si>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</si>
  <si>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</si>
  <si>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</si>
  <si>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</si>
  <si>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</si>
  <si>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</si>
  <si>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</si>
  <si>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</si>
  <si>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</si>
  <si>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</si>
  <si>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</si>
  <si>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</si>
  <si>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</si>
  <si>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</si>
  <si>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</si>
  <si>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</si>
  <si>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</si>
  <si>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</si>
  <si>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</si>
  <si>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</si>
  <si>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</si>
  <si>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</si>
  <si>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</si>
  <si>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</si>
  <si>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</si>
  <si>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</si>
  <si>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</si>
  <si>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</si>
  <si>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</si>
  <si>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</si>
  <si>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</si>
  <si>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</si>
  <si>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</si>
  <si>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</si>
  <si>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</si>
  <si>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</si>
  <si>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</si>
  <si>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</si>
  <si>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</si>
  <si>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</si>
  <si>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</si>
  <si>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</si>
  <si>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</si>
  <si>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</si>
  <si>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</si>
  <si>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</si>
  <si>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</si>
  <si>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</si>
  <si>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</si>
  <si>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</si>
  <si>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</si>
  <si>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</si>
  <si>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</si>
  <si>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</si>
  <si>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</si>
  <si>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</si>
  <si>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</si>
  <si>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</si>
  <si>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</si>
  <si>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</si>
  <si>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</si>
  <si>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</si>
  <si>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</si>
  <si>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</si>
  <si>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</si>
  <si>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</si>
  <si>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</si>
  <si>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</si>
  <si>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</si>
  <si>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</si>
  <si>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</si>
  <si>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</si>
  <si>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</si>
  <si>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</si>
  <si>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</si>
  <si>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</si>
  <si>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</si>
  <si>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</si>
  <si>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</si>
  <si>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</si>
  <si>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</si>
  <si>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</si>
  <si>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</si>
  <si>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</si>
  <si>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</si>
  <si>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</si>
  <si>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</si>
  <si>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</si>
  <si>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</si>
  <si>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</si>
  <si>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</si>
  <si>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</si>
  <si>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</si>
  <si>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</si>
  <si>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</si>
  <si>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</si>
  <si>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</si>
  <si>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</si>
  <si>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</si>
  <si>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</si>
  <si>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</si>
  <si>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</si>
  <si>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</si>
  <si>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</si>
  <si>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</si>
  <si>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</si>
  <si>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</si>
  <si>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</si>
  <si>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</si>
  <si>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</si>
  <si>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</si>
  <si>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</si>
  <si>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</si>
  <si>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</si>
  <si>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</si>
  <si>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</si>
  <si>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</si>
  <si>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</si>
  <si>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</si>
  <si>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</si>
  <si>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</si>
  <si>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</si>
  <si>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</si>
  <si>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</si>
  <si>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</si>
  <si>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</si>
  <si>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</si>
  <si>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</si>
  <si>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</si>
  <si>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</si>
  <si>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</si>
  <si>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</si>
  <si>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</si>
  <si>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</si>
  <si>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</si>
  <si>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</si>
  <si>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</si>
  <si>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</si>
  <si>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</si>
  <si>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</si>
  <si>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</si>
  <si>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</si>
  <si>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</si>
  <si>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</si>
  <si>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</si>
  <si>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</si>
  <si>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</si>
  <si>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</si>
  <si>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</si>
  <si>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</si>
  <si>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</si>
  <si>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</si>
  <si>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</si>
  <si>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</si>
  <si>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</si>
  <si>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</si>
  <si>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</si>
  <si>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</si>
  <si>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</si>
  <si>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</si>
  <si>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</si>
  <si>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</si>
  <si>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</si>
  <si>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</si>
  <si>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</si>
  <si>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</si>
  <si>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</si>
  <si>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</si>
  <si>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</si>
  <si>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</si>
  <si>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</si>
  <si>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</si>
  <si>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</si>
  <si>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</si>
  <si>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</si>
  <si>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</si>
  <si>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</si>
  <si>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</si>
  <si>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</si>
  <si>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</si>
  <si>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</si>
  <si>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</si>
  <si>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</si>
  <si>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</si>
  <si>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</si>
  <si>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</si>
  <si>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</si>
  <si>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</si>
  <si>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</si>
  <si>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</si>
  <si>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</si>
  <si>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</si>
  <si>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</si>
  <si>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</si>
  <si>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</si>
  <si>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</si>
  <si>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</si>
  <si>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</si>
  <si>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</si>
  <si>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</si>
  <si>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</si>
  <si>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</si>
  <si>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</si>
  <si>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</si>
  <si>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</si>
  <si>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</si>
  <si>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</si>
  <si>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</si>
  <si>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</si>
  <si>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</si>
  <si>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</si>
  <si>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</si>
  <si>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</si>
  <si>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</si>
  <si>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</si>
  <si>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</si>
  <si>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</si>
  <si>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</si>
  <si>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</si>
  <si>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</si>
  <si>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</si>
  <si>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</si>
  <si>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</si>
  <si>
    <t>Andere Schafe über 365 d</t>
  </si>
  <si>
    <t>Lamm bis 180 d</t>
  </si>
  <si>
    <t>Milchziege</t>
  </si>
  <si>
    <t>Andere Ziegen über 365 d</t>
  </si>
  <si>
    <t>Jungziegen über 180 bis 365 d</t>
  </si>
  <si>
    <t>Zicklein bis 180 d (Milchziegenherde)</t>
  </si>
  <si>
    <t>Zicklein bis 180 d (Mutterziegenherde)</t>
  </si>
  <si>
    <t>Jungschafe über 180 bis 365 d</t>
  </si>
  <si>
    <t>autres moutons de plus de 365 j</t>
  </si>
  <si>
    <t>Jeunes moutons de 180 à 365 j</t>
  </si>
  <si>
    <t>Agneaux jusqu'à 180 j</t>
  </si>
  <si>
    <t>Chèvres laitières</t>
  </si>
  <si>
    <t>Autres chèveres de plus de 365 j</t>
  </si>
  <si>
    <t>Jeune chèvres de 180 à 365 j</t>
  </si>
  <si>
    <t>Cabris jusqu'à 180 j (troupeau de chèvres laitières)</t>
  </si>
  <si>
    <t>Cabris jusqu'à 180 j (troupeau de chèvres mères)</t>
  </si>
  <si>
    <t>altri ovini oltre 365 g di età</t>
  </si>
  <si>
    <t>Ovini giovani oltre 180 fino a 365 g di età</t>
  </si>
  <si>
    <t>Agnelli fino a 180 g di età</t>
  </si>
  <si>
    <t>Capra da latte</t>
  </si>
  <si>
    <t>Altri caprini oltre 365 g di età</t>
  </si>
  <si>
    <t>Caprini giovani oltre 180 fino a 365 g di età</t>
  </si>
  <si>
    <t>Capretti fino a 180 g di età (gregge di capre da latte)</t>
  </si>
  <si>
    <t>Capretti fino a 180 g di età (gregge di capre madre)</t>
  </si>
  <si>
    <t>GMF_145</t>
  </si>
  <si>
    <t>5 neue Zeilen für Kleinwiederkäuer, neue TS-Verzehr und GVE-Faktor</t>
  </si>
  <si>
    <t xml:space="preserve">Milchschaf </t>
  </si>
  <si>
    <t xml:space="preserve">Brebis laitière </t>
  </si>
  <si>
    <t>Pecora da latte</t>
  </si>
  <si>
    <t>5 neue Zeilen für Kleinwiederkäuer ab Zeile 156; neue Versionsnummer 1.10 und Wegleitung 1.19</t>
  </si>
  <si>
    <t>erweitern der Tierliste, Listen in B64ff anpassen, fixe Kategorien anpassen, Milchleistung Schafe, Ziegen ergänzen, Berechnung GF-Verzehr anpassen</t>
  </si>
  <si>
    <t>Mutterkuhbetriebe : GMF-MuK ist zu erfüllen:</t>
  </si>
  <si>
    <t>Mutterkuh Schweiz: GMF ist für Jungvieh zu erfüllen:</t>
  </si>
  <si>
    <t>dt KF</t>
  </si>
  <si>
    <t>dt GF</t>
  </si>
  <si>
    <t>Liste ja/nein</t>
  </si>
  <si>
    <t>ja/nien</t>
  </si>
  <si>
    <t>Anpassungen für Mutterkuhschweiz. Wahl, ob JV 1-2J und JV&gt;2 J. auch zu MuKu-Bilanz zählen soll (Z40 herum)</t>
  </si>
  <si>
    <t>dt GF Sömmerung</t>
  </si>
  <si>
    <t>GMF_146</t>
  </si>
  <si>
    <t>daten</t>
  </si>
  <si>
    <t>GF-verzehr Rindvieh-Weidemast 21</t>
  </si>
  <si>
    <t>muss 24 sein</t>
  </si>
  <si>
    <t>Version: 1.11</t>
  </si>
  <si>
    <t>version: 1.11</t>
  </si>
  <si>
    <t>Versione: 1.11</t>
  </si>
  <si>
    <t>dazugehörende Suisse-Bilanz Version 1.20</t>
  </si>
  <si>
    <t>correspondant Suisse-Bilanz version 1.20</t>
  </si>
  <si>
    <t>rispettivo Suisse-Bilanz Versione 1.20</t>
  </si>
  <si>
    <t>GMF_147</t>
  </si>
  <si>
    <t>Versionsnummer GMF, Suisse-Bilan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</si>
</sst>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General_)"/>
    <numFmt numFmtId="165" formatCode="0_)"/>
    <numFmt numFmtId="166" formatCode="0.00_)"/>
    <numFmt numFmtId="167" formatCode="0.0_)"/>
    <numFmt numFmtId="168" formatCode="0.0"/>
    <numFmt numFmtId="169" formatCode="0__"/>
    <numFmt numFmtId="170" formatCode="0_)\ "/>
    <numFmt numFmtId="171" formatCode="0.0\ &quot;%&quot;"/>
    <numFmt numFmtId="172" formatCode="0\ &quot;Tage&quot;"/>
    <numFmt numFmtId="173" formatCode="0.00\ &quot;ha&quot;"/>
    <numFmt numFmtId="174" formatCode="0\ &quot;m.ü.M&quot;"/>
    <numFmt numFmtId="175" formatCode="#,##0_)"/>
    <numFmt numFmtId="176" formatCode="0.000"/>
    <numFmt numFmtId="177" formatCode="#,##0_ ;[Red]\-#,##0\ "/>
    <numFmt numFmtId="178" formatCode="0.0_);\-\ 0.0_);"/>
    <numFmt numFmtId="179" formatCode="#,##0_);\-\ #,##0_);"/>
    <numFmt numFmtId="180" formatCode="#,##0_);\-#,##0_);"/>
    <numFmt numFmtId="181" formatCode="General_);\-General_);"/>
    <numFmt numFmtId="182" formatCode="0.0_);\-0.0_);"/>
    <numFmt numFmtId="183" formatCode="0.00_);\-0.00_);"/>
  </numFmts>
  <fonts count="85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6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681">
    <xf numFmtId="0" fontId="0" fillId="0" borderId="0" xfId="0"/>
    <xf numFmtId="168" fontId="13" fillId="0" borderId="0" xfId="94" applyFont="1"/>
    <xf numFmtId="168" fontId="13" fillId="0" borderId="14" xfId="94" applyFont="1" applyBorder="1" applyAlignment="1">
      <alignment vertical="center"/>
    </xf>
    <xf numFmtId="165" fontId="13" fillId="25" borderId="15" xfId="94" applyNumberFormat="1" applyFont="1" applyFill="1" applyBorder="1" applyAlignment="1" applyProtection="1">
      <alignment vertical="center"/>
      <protection locked="0"/>
    </xf>
    <xf numFmtId="165" fontId="13" fillId="25" borderId="16" xfId="94" applyNumberFormat="1" applyFont="1" applyFill="1" applyBorder="1" applyAlignment="1" applyProtection="1">
      <alignment vertical="center"/>
      <protection locked="0"/>
    </xf>
    <xf numFmtId="171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3" fillId="0" borderId="0" xfId="0" applyFont="1"/>
    <xf numFmtId="0" fontId="13" fillId="0" borderId="18" xfId="0" applyFont="1" applyBorder="1"/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68" fontId="27" fillId="0" borderId="20" xfId="94" applyFont="1" applyBorder="1"/>
    <xf numFmtId="168" fontId="27" fillId="0" borderId="21" xfId="94" applyFont="1" applyBorder="1"/>
    <xf numFmtId="168" fontId="27" fillId="0" borderId="22" xfId="94" applyFont="1" applyBorder="1"/>
    <xf numFmtId="168" fontId="13" fillId="0" borderId="20" xfId="94" applyFont="1" applyBorder="1"/>
    <xf numFmtId="168" fontId="13" fillId="0" borderId="23" xfId="94" applyFont="1" applyBorder="1"/>
    <xf numFmtId="168" fontId="13" fillId="0" borderId="24" xfId="94" applyFont="1" applyBorder="1"/>
    <xf numFmtId="168" fontId="27" fillId="0" borderId="23" xfId="94" applyFont="1" applyBorder="1"/>
    <xf numFmtId="168" fontId="27" fillId="0" borderId="24" xfId="94" applyFont="1" applyBorder="1"/>
    <xf numFmtId="168" fontId="27" fillId="0" borderId="23" xfId="94" applyFont="1" applyBorder="1" applyAlignment="1">
      <alignment horizontal="center" vertical="center"/>
    </xf>
    <xf numFmtId="168" fontId="27" fillId="0" borderId="23" xfId="94" applyFont="1" applyBorder="1" applyAlignment="1">
      <alignment horizontal="center" vertical="center" wrapText="1"/>
    </xf>
    <xf numFmtId="168" fontId="13" fillId="0" borderId="25" xfId="94" applyFont="1" applyBorder="1"/>
    <xf numFmtId="168" fontId="13" fillId="0" borderId="26" xfId="94" applyFont="1" applyBorder="1"/>
    <xf numFmtId="168" fontId="27" fillId="0" borderId="25" xfId="94" applyFont="1" applyBorder="1" applyAlignment="1">
      <alignment horizontal="center" vertical="center"/>
    </xf>
    <xf numFmtId="168" fontId="27" fillId="0" borderId="25" xfId="94" applyFont="1" applyBorder="1" applyAlignment="1">
      <alignment horizontal="center" vertical="center" wrapText="1"/>
    </xf>
    <xf numFmtId="168" fontId="13" fillId="25" borderId="21" xfId="94" applyFont="1" applyFill="1" applyBorder="1" applyAlignment="1">
      <alignment vertical="center"/>
    </xf>
    <xf numFmtId="169" fontId="13" fillId="27" borderId="21" xfId="94" applyNumberFormat="1" applyFont="1" applyFill="1" applyBorder="1" applyAlignment="1">
      <alignment horizontal="center" vertical="center"/>
    </xf>
    <xf numFmtId="168" fontId="13" fillId="25" borderId="23" xfId="94" applyFont="1" applyFill="1" applyBorder="1" applyAlignment="1">
      <alignment vertical="center"/>
    </xf>
    <xf numFmtId="167" fontId="13" fillId="26" borderId="23" xfId="94" applyNumberFormat="1" applyFont="1" applyFill="1" applyBorder="1" applyAlignment="1">
      <alignment horizontal="center" vertical="center"/>
    </xf>
    <xf numFmtId="169" fontId="13" fillId="27" borderId="23" xfId="94" applyNumberFormat="1" applyFont="1" applyFill="1" applyBorder="1" applyAlignment="1">
      <alignment horizontal="center" vertical="center"/>
    </xf>
    <xf numFmtId="168" fontId="13" fillId="25" borderId="15" xfId="94" applyFont="1" applyFill="1" applyBorder="1" applyAlignment="1">
      <alignment vertical="center"/>
    </xf>
    <xf numFmtId="167" fontId="13" fillId="26" borderId="15" xfId="94" applyNumberFormat="1" applyFont="1" applyFill="1" applyBorder="1" applyAlignment="1">
      <alignment horizontal="center" vertical="center"/>
    </xf>
    <xf numFmtId="169" fontId="13" fillId="27" borderId="15" xfId="94" applyNumberFormat="1" applyFont="1" applyFill="1" applyBorder="1" applyAlignment="1">
      <alignment horizontal="center" vertical="center"/>
    </xf>
    <xf numFmtId="168" fontId="13" fillId="27" borderId="23" xfId="94" applyFont="1" applyFill="1" applyBorder="1" applyAlignment="1">
      <alignment horizontal="center" vertical="center"/>
    </xf>
    <xf numFmtId="168" fontId="13" fillId="27" borderId="15" xfId="94" applyFont="1" applyFill="1" applyBorder="1" applyAlignment="1">
      <alignment horizontal="center" vertical="center"/>
    </xf>
    <xf numFmtId="167" fontId="13" fillId="27" borderId="23" xfId="94" applyNumberFormat="1" applyFont="1" applyFill="1" applyBorder="1" applyAlignment="1">
      <alignment horizontal="center" vertical="center"/>
    </xf>
    <xf numFmtId="167" fontId="13" fillId="27" borderId="15" xfId="94" applyNumberFormat="1" applyFont="1" applyFill="1" applyBorder="1" applyAlignment="1">
      <alignment horizontal="center" vertical="center"/>
    </xf>
    <xf numFmtId="167" fontId="13" fillId="27" borderId="16" xfId="94" applyNumberFormat="1" applyFont="1" applyFill="1" applyBorder="1" applyAlignment="1">
      <alignment horizontal="center" vertical="center"/>
    </xf>
    <xf numFmtId="166" fontId="13" fillId="27" borderId="23" xfId="94" applyNumberFormat="1" applyFont="1" applyFill="1" applyBorder="1" applyAlignment="1">
      <alignment horizontal="center" vertical="center"/>
    </xf>
    <xf numFmtId="168" fontId="36" fillId="0" borderId="0" xfId="94" applyFont="1"/>
    <xf numFmtId="168" fontId="35" fillId="0" borderId="0" xfId="94" applyFont="1"/>
    <xf numFmtId="168" fontId="13" fillId="25" borderId="27" xfId="94" applyFont="1" applyFill="1" applyBorder="1" applyAlignment="1">
      <alignment vertical="center"/>
    </xf>
    <xf numFmtId="168" fontId="13" fillId="0" borderId="0" xfId="94" applyFont="1" applyAlignment="1">
      <alignment vertical="center"/>
    </xf>
    <xf numFmtId="164" fontId="13" fillId="0" borderId="20" xfId="94" applyNumberFormat="1" applyFont="1" applyBorder="1" applyAlignment="1">
      <alignment vertical="center"/>
    </xf>
    <xf numFmtId="165" fontId="13" fillId="0" borderId="16" xfId="94" applyNumberFormat="1" applyFont="1" applyBorder="1" applyAlignment="1">
      <alignment horizontal="center" vertical="center"/>
    </xf>
    <xf numFmtId="165" fontId="13" fillId="28" borderId="16" xfId="94" applyNumberFormat="1" applyFont="1" applyFill="1" applyBorder="1" applyAlignment="1" applyProtection="1">
      <alignment horizontal="center" vertical="center"/>
      <protection locked="0"/>
    </xf>
    <xf numFmtId="165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28" xfId="94" applyFont="1" applyBorder="1" applyAlignment="1">
      <alignment vertical="center"/>
    </xf>
    <xf numFmtId="165" fontId="13" fillId="25" borderId="27" xfId="94" applyNumberFormat="1" applyFont="1" applyFill="1" applyBorder="1" applyAlignment="1" applyProtection="1">
      <alignment vertical="center"/>
      <protection locked="0"/>
    </xf>
    <xf numFmtId="165" fontId="13" fillId="28" borderId="29" xfId="94" applyNumberFormat="1" applyFont="1" applyFill="1" applyBorder="1" applyAlignment="1" applyProtection="1">
      <alignment horizontal="center" vertical="center"/>
      <protection locked="0"/>
    </xf>
    <xf numFmtId="171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30" xfId="94" applyFont="1" applyBorder="1" applyAlignment="1">
      <alignment vertical="center"/>
    </xf>
    <xf numFmtId="165" fontId="13" fillId="25" borderId="31" xfId="94" applyNumberFormat="1" applyFont="1" applyFill="1" applyBorder="1" applyAlignment="1" applyProtection="1">
      <alignment vertical="center"/>
      <protection locked="0"/>
    </xf>
    <xf numFmtId="165" fontId="13" fillId="0" borderId="31" xfId="94" applyNumberFormat="1" applyFont="1" applyBorder="1" applyAlignment="1">
      <alignment horizontal="center" vertical="center"/>
    </xf>
    <xf numFmtId="168" fontId="13" fillId="25" borderId="19" xfId="94" applyFont="1" applyFill="1" applyBorder="1" applyAlignment="1" applyProtection="1">
      <alignment vertical="center"/>
      <protection locked="0"/>
    </xf>
    <xf numFmtId="168" fontId="13" fillId="25" borderId="19" xfId="94" applyFont="1" applyFill="1" applyBorder="1" applyAlignment="1">
      <alignment vertical="center"/>
    </xf>
    <xf numFmtId="0" fontId="26" fillId="0" borderId="0" xfId="0" applyFont="1"/>
    <xf numFmtId="0" fontId="13" fillId="0" borderId="0" xfId="0" applyFont="1" applyAlignment="1">
      <alignment horizontal="left"/>
    </xf>
    <xf numFmtId="0" fontId="0" fillId="28" borderId="32" xfId="0" applyFill="1" applyBorder="1"/>
    <xf numFmtId="49" fontId="13" fillId="25" borderId="32" xfId="0" applyNumberFormat="1" applyFont="1" applyFill="1" applyBorder="1"/>
    <xf numFmtId="0" fontId="0" fillId="0" borderId="32" xfId="0" applyBorder="1"/>
    <xf numFmtId="168" fontId="27" fillId="0" borderId="33" xfId="94" applyFont="1" applyBorder="1" applyAlignment="1">
      <alignment vertical="center"/>
    </xf>
    <xf numFmtId="0" fontId="27" fillId="0" borderId="33" xfId="94" applyNumberFormat="1" applyFont="1" applyBorder="1" applyAlignment="1">
      <alignment horizontal="center" vertical="center"/>
    </xf>
    <xf numFmtId="1" fontId="27" fillId="0" borderId="33" xfId="94" applyNumberFormat="1" applyFont="1" applyBorder="1" applyAlignment="1">
      <alignment horizontal="center"/>
    </xf>
    <xf numFmtId="167" fontId="27" fillId="0" borderId="33" xfId="94" applyNumberFormat="1" applyFont="1" applyBorder="1" applyAlignment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Alignment="1">
      <alignment horizontal="center" vertical="center"/>
    </xf>
    <xf numFmtId="168" fontId="13" fillId="0" borderId="0" xfId="94" applyFont="1" applyAlignment="1" applyProtection="1">
      <alignment vertical="center"/>
      <protection hidden="1"/>
    </xf>
    <xf numFmtId="166" fontId="13" fillId="25" borderId="14" xfId="94" applyNumberFormat="1" applyFont="1" applyFill="1" applyBorder="1" applyAlignment="1" applyProtection="1">
      <alignment vertical="center"/>
      <protection locked="0"/>
    </xf>
    <xf numFmtId="169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7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 applyAlignment="1">
      <alignment horizontal="left"/>
    </xf>
    <xf numFmtId="0" fontId="13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/>
    <xf numFmtId="49" fontId="13" fillId="25" borderId="34" xfId="0" applyNumberFormat="1" applyFont="1" applyFill="1" applyBorder="1" applyProtection="1">
      <protection locked="0"/>
    </xf>
    <xf numFmtId="49" fontId="13" fillId="25" borderId="34" xfId="0" applyNumberFormat="1" applyFont="1" applyFill="1" applyBorder="1"/>
    <xf numFmtId="0" fontId="27" fillId="0" borderId="0" xfId="0" applyFont="1" applyAlignment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Font="1" applyAlignment="1">
      <alignment horizontal="right"/>
    </xf>
    <xf numFmtId="1" fontId="33" fillId="0" borderId="0" xfId="94" applyNumberFormat="1" applyFont="1" applyAlignment="1" applyProtection="1">
      <alignment horizontal="right"/>
      <protection hidden="1"/>
    </xf>
    <xf numFmtId="0" fontId="0" fillId="0" borderId="0" xfId="0" quotePrefix="1"/>
    <xf numFmtId="175" fontId="13" fillId="25" borderId="15" xfId="94" applyNumberFormat="1" applyFont="1" applyFill="1" applyBorder="1" applyAlignment="1" applyProtection="1">
      <alignment vertical="center"/>
      <protection locked="0"/>
    </xf>
    <xf numFmtId="175" fontId="13" fillId="25" borderId="16" xfId="94" applyNumberFormat="1" applyFont="1" applyFill="1" applyBorder="1" applyAlignment="1" applyProtection="1">
      <alignment vertical="center"/>
      <protection locked="0"/>
    </xf>
    <xf numFmtId="175" fontId="13" fillId="25" borderId="27" xfId="94" applyNumberFormat="1" applyFont="1" applyFill="1" applyBorder="1" applyAlignment="1" applyProtection="1">
      <alignment vertical="center"/>
      <protection locked="0"/>
    </xf>
    <xf numFmtId="175" fontId="13" fillId="25" borderId="31" xfId="94" applyNumberFormat="1" applyFont="1" applyFill="1" applyBorder="1" applyAlignment="1" applyProtection="1">
      <alignment vertical="center"/>
      <protection locked="0"/>
    </xf>
    <xf numFmtId="175" fontId="13" fillId="25" borderId="14" xfId="94" applyNumberFormat="1" applyFont="1" applyFill="1" applyBorder="1" applyAlignment="1" applyProtection="1">
      <alignment vertical="center"/>
      <protection locked="0"/>
    </xf>
    <xf numFmtId="175" fontId="13" fillId="25" borderId="28" xfId="94" applyNumberFormat="1" applyFont="1" applyFill="1" applyBorder="1" applyAlignment="1" applyProtection="1">
      <alignment vertical="center"/>
      <protection locked="0"/>
    </xf>
    <xf numFmtId="164" fontId="13" fillId="25" borderId="16" xfId="94" applyNumberFormat="1" applyFont="1" applyFill="1" applyBorder="1" applyAlignment="1" applyProtection="1">
      <alignment vertical="center"/>
      <protection locked="0"/>
    </xf>
    <xf numFmtId="164" fontId="13" fillId="25" borderId="21" xfId="94" applyNumberFormat="1" applyFont="1" applyFill="1" applyBorder="1" applyProtection="1">
      <protection locked="0"/>
    </xf>
    <xf numFmtId="164" fontId="13" fillId="25" borderId="16" xfId="94" applyNumberFormat="1" applyFont="1" applyFill="1" applyBorder="1" applyProtection="1">
      <protection locked="0"/>
    </xf>
    <xf numFmtId="164" fontId="13" fillId="25" borderId="27" xfId="94" applyNumberFormat="1" applyFont="1" applyFill="1" applyBorder="1" applyAlignment="1" applyProtection="1">
      <alignment vertical="center"/>
      <protection locked="0"/>
    </xf>
    <xf numFmtId="164" fontId="13" fillId="25" borderId="31" xfId="94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13" fillId="0" borderId="0" xfId="94" applyNumberFormat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right" indent="1"/>
    </xf>
    <xf numFmtId="0" fontId="13" fillId="0" borderId="14" xfId="94" applyNumberFormat="1" applyFont="1" applyBorder="1" applyAlignment="1">
      <alignment horizontal="center" vertical="center"/>
    </xf>
    <xf numFmtId="0" fontId="13" fillId="0" borderId="28" xfId="94" applyNumberFormat="1" applyFont="1" applyBorder="1" applyAlignment="1">
      <alignment horizontal="center" vertical="center"/>
    </xf>
    <xf numFmtId="0" fontId="13" fillId="0" borderId="35" xfId="94" applyNumberFormat="1" applyFont="1" applyBorder="1" applyAlignment="1">
      <alignment horizontal="center" vertical="center"/>
    </xf>
    <xf numFmtId="16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6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68" fontId="13" fillId="25" borderId="25" xfId="94" applyFont="1" applyFill="1" applyBorder="1" applyAlignment="1">
      <alignment vertical="center"/>
    </xf>
    <xf numFmtId="167" fontId="13" fillId="27" borderId="25" xfId="94" applyNumberFormat="1" applyFont="1" applyFill="1" applyBorder="1" applyAlignment="1">
      <alignment horizontal="center" vertical="center"/>
    </xf>
    <xf numFmtId="167" fontId="13" fillId="26" borderId="25" xfId="94" applyNumberFormat="1" applyFont="1" applyFill="1" applyBorder="1" applyAlignment="1">
      <alignment horizontal="center" vertical="center"/>
    </xf>
    <xf numFmtId="168" fontId="45" fillId="25" borderId="0" xfId="94" applyFont="1" applyFill="1" applyAlignment="1">
      <alignment horizontal="centerContinuous" vertical="center"/>
    </xf>
    <xf numFmtId="0" fontId="25" fillId="0" borderId="0" xfId="0" applyFont="1" applyAlignment="1">
      <alignment horizontal="left"/>
    </xf>
    <xf numFmtId="0" fontId="54" fillId="0" borderId="0" xfId="0" applyFont="1"/>
    <xf numFmtId="0" fontId="28" fillId="0" borderId="0" xfId="0" applyFont="1"/>
    <xf numFmtId="0" fontId="32" fillId="0" borderId="0" xfId="0" applyFont="1"/>
    <xf numFmtId="173" fontId="13" fillId="25" borderId="34" xfId="0" applyNumberFormat="1" applyFont="1" applyFill="1" applyBorder="1" applyAlignment="1" applyProtection="1">
      <alignment horizontal="left"/>
      <protection locked="0"/>
    </xf>
    <xf numFmtId="168" fontId="36" fillId="26" borderId="0" xfId="94" applyFont="1" applyFill="1" applyAlignment="1">
      <alignment vertical="center"/>
    </xf>
    <xf numFmtId="0" fontId="55" fillId="0" borderId="0" xfId="0" applyFont="1"/>
    <xf numFmtId="168" fontId="13" fillId="0" borderId="0" xfId="94" applyFont="1" applyAlignment="1">
      <alignment horizontal="left"/>
    </xf>
    <xf numFmtId="1" fontId="55" fillId="0" borderId="0" xfId="94" applyNumberFormat="1" applyFont="1" applyAlignment="1">
      <alignment horizontal="center" vertical="center"/>
    </xf>
    <xf numFmtId="1" fontId="55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vertical="center"/>
    </xf>
    <xf numFmtId="1" fontId="55" fillId="0" borderId="0" xfId="94" applyNumberFormat="1" applyFont="1" applyAlignment="1">
      <alignment vertical="center"/>
    </xf>
    <xf numFmtId="1" fontId="13" fillId="0" borderId="0" xfId="94" applyNumberFormat="1" applyFont="1" applyAlignment="1">
      <alignment horizontal="center" vertical="center"/>
    </xf>
    <xf numFmtId="1" fontId="49" fillId="0" borderId="0" xfId="94" applyNumberFormat="1" applyFont="1" applyAlignment="1">
      <alignment horizontal="center" vertical="center"/>
    </xf>
    <xf numFmtId="168" fontId="55" fillId="0" borderId="0" xfId="94" applyFont="1"/>
    <xf numFmtId="168" fontId="55" fillId="0" borderId="0" xfId="94" applyFont="1" applyAlignment="1">
      <alignment horizontal="left"/>
    </xf>
    <xf numFmtId="0" fontId="52" fillId="0" borderId="0" xfId="0" applyFont="1" applyAlignment="1">
      <alignment horizontal="left"/>
    </xf>
    <xf numFmtId="0" fontId="57" fillId="0" borderId="0" xfId="0" applyFont="1"/>
    <xf numFmtId="0" fontId="13" fillId="0" borderId="0" xfId="0" applyFont="1" applyAlignment="1">
      <alignment horizontal="right"/>
    </xf>
    <xf numFmtId="168" fontId="35" fillId="0" borderId="0" xfId="94" applyFont="1" applyAlignment="1">
      <alignment vertical="center"/>
    </xf>
    <xf numFmtId="168" fontId="48" fillId="0" borderId="0" xfId="94" applyFont="1" applyAlignment="1">
      <alignment vertical="center"/>
    </xf>
    <xf numFmtId="164" fontId="25" fillId="0" borderId="0" xfId="94" applyNumberFormat="1" applyFont="1" applyAlignment="1">
      <alignment vertical="center"/>
    </xf>
    <xf numFmtId="1" fontId="28" fillId="0" borderId="0" xfId="94" applyNumberFormat="1" applyFont="1" applyAlignment="1">
      <alignment horizontal="right" vertical="center"/>
    </xf>
    <xf numFmtId="1" fontId="33" fillId="0" borderId="0" xfId="94" applyNumberFormat="1" applyFont="1"/>
    <xf numFmtId="164" fontId="25" fillId="0" borderId="18" xfId="94" applyNumberFormat="1" applyFont="1" applyBorder="1" applyAlignment="1">
      <alignment vertical="center"/>
    </xf>
    <xf numFmtId="168" fontId="13" fillId="0" borderId="18" xfId="94" applyFont="1" applyBorder="1" applyAlignment="1">
      <alignment vertical="center"/>
    </xf>
    <xf numFmtId="168" fontId="25" fillId="0" borderId="18" xfId="94" applyFont="1" applyBorder="1" applyAlignment="1">
      <alignment vertical="center"/>
    </xf>
    <xf numFmtId="168" fontId="30" fillId="0" borderId="18" xfId="94" applyFont="1" applyBorder="1" applyAlignment="1">
      <alignment vertical="center"/>
    </xf>
    <xf numFmtId="168" fontId="35" fillId="0" borderId="0" xfId="94" applyFont="1" applyAlignment="1">
      <alignment horizontal="centerContinuous" vertical="center"/>
    </xf>
    <xf numFmtId="168" fontId="25" fillId="0" borderId="0" xfId="94" applyFont="1" applyAlignment="1">
      <alignment vertical="center"/>
    </xf>
    <xf numFmtId="168" fontId="30" fillId="0" borderId="0" xfId="94" applyFont="1" applyAlignment="1">
      <alignment vertical="center"/>
    </xf>
    <xf numFmtId="1" fontId="28" fillId="0" borderId="0" xfId="94" applyNumberFormat="1" applyFont="1" applyAlignment="1">
      <alignment horizontal="centerContinuous" vertical="center"/>
    </xf>
    <xf numFmtId="168" fontId="13" fillId="0" borderId="0" xfId="94" applyFont="1" applyAlignment="1">
      <alignment horizontal="right" vertical="center" indent="1"/>
    </xf>
    <xf numFmtId="0" fontId="55" fillId="26" borderId="0" xfId="94" applyNumberFormat="1" applyFont="1" applyFill="1" applyAlignment="1">
      <alignment vertical="center"/>
    </xf>
    <xf numFmtId="168" fontId="55" fillId="26" borderId="0" xfId="94" applyFont="1" applyFill="1" applyAlignment="1">
      <alignment vertical="center"/>
    </xf>
    <xf numFmtId="168" fontId="35" fillId="0" borderId="0" xfId="94" applyFont="1" applyAlignment="1">
      <alignment horizontal="right" vertical="center"/>
    </xf>
    <xf numFmtId="168" fontId="13" fillId="0" borderId="0" xfId="94" applyFont="1" applyAlignment="1">
      <alignment horizontal="left" vertical="center"/>
    </xf>
    <xf numFmtId="168" fontId="32" fillId="0" borderId="0" xfId="94" applyFont="1" applyAlignment="1">
      <alignment vertical="center"/>
    </xf>
    <xf numFmtId="0" fontId="51" fillId="0" borderId="0" xfId="0" applyFont="1"/>
    <xf numFmtId="164" fontId="28" fillId="0" borderId="0" xfId="94" applyNumberFormat="1" applyFont="1" applyAlignment="1">
      <alignment horizontal="left" vertical="center"/>
    </xf>
    <xf numFmtId="168" fontId="28" fillId="0" borderId="0" xfId="94" applyFont="1" applyAlignment="1">
      <alignment vertical="center"/>
    </xf>
    <xf numFmtId="168" fontId="24" fillId="0" borderId="0" xfId="94" applyFont="1" applyAlignment="1">
      <alignment vertical="center"/>
    </xf>
    <xf numFmtId="168" fontId="36" fillId="0" borderId="0" xfId="94" applyFont="1" applyAlignment="1">
      <alignment vertical="center"/>
    </xf>
    <xf numFmtId="168" fontId="55" fillId="0" borderId="0" xfId="94" applyFont="1" applyAlignment="1">
      <alignment vertical="center"/>
    </xf>
    <xf numFmtId="1" fontId="36" fillId="0" borderId="0" xfId="94" applyNumberFormat="1" applyFont="1" applyAlignment="1">
      <alignment vertical="center"/>
    </xf>
    <xf numFmtId="1" fontId="35" fillId="0" borderId="0" xfId="94" applyNumberFormat="1" applyFont="1" applyAlignment="1">
      <alignment vertical="center"/>
    </xf>
    <xf numFmtId="168" fontId="27" fillId="0" borderId="0" xfId="94" applyFont="1" applyAlignment="1">
      <alignment vertical="center"/>
    </xf>
    <xf numFmtId="168" fontId="36" fillId="0" borderId="0" xfId="94" applyFont="1" applyAlignment="1">
      <alignment horizontal="right" vertical="center"/>
    </xf>
    <xf numFmtId="1" fontId="36" fillId="0" borderId="0" xfId="94" applyNumberFormat="1" applyFont="1" applyAlignment="1">
      <alignment horizontal="right" vertical="center"/>
    </xf>
    <xf numFmtId="164" fontId="27" fillId="0" borderId="19" xfId="94" applyNumberFormat="1" applyFont="1" applyBorder="1" applyAlignment="1">
      <alignment horizontal="left" vertical="center"/>
    </xf>
    <xf numFmtId="168" fontId="13" fillId="0" borderId="19" xfId="94" applyFont="1" applyBorder="1" applyAlignment="1">
      <alignment vertical="center"/>
    </xf>
    <xf numFmtId="168" fontId="56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right" vertical="center"/>
    </xf>
    <xf numFmtId="1" fontId="55" fillId="26" borderId="0" xfId="94" applyNumberFormat="1" applyFont="1" applyFill="1" applyAlignment="1">
      <alignment vertical="center"/>
    </xf>
    <xf numFmtId="168" fontId="55" fillId="0" borderId="0" xfId="94" applyFont="1" applyAlignment="1">
      <alignment horizontal="center"/>
    </xf>
    <xf numFmtId="168" fontId="13" fillId="0" borderId="0" xfId="94" applyFont="1" applyAlignment="1">
      <alignment horizontal="center"/>
    </xf>
    <xf numFmtId="1" fontId="13" fillId="0" borderId="0" xfId="94" applyNumberFormat="1" applyFont="1" applyAlignment="1">
      <alignment horizontal="center"/>
    </xf>
    <xf numFmtId="168" fontId="13" fillId="0" borderId="20" xfId="94" applyFont="1" applyBorder="1" applyAlignment="1">
      <alignment vertical="center"/>
    </xf>
    <xf numFmtId="168" fontId="27" fillId="0" borderId="22" xfId="94" applyFont="1" applyBorder="1" applyAlignment="1">
      <alignment vertical="center"/>
    </xf>
    <xf numFmtId="168" fontId="27" fillId="0" borderId="36" xfId="94" applyFont="1" applyBorder="1" applyAlignment="1">
      <alignment vertical="center"/>
    </xf>
    <xf numFmtId="168" fontId="27" fillId="0" borderId="37" xfId="94" applyFont="1" applyBorder="1" applyAlignment="1">
      <alignment vertical="center"/>
    </xf>
    <xf numFmtId="164" fontId="27" fillId="0" borderId="21" xfId="94" applyNumberFormat="1" applyFont="1" applyBorder="1" applyAlignment="1">
      <alignment horizontal="left" vertical="center"/>
    </xf>
    <xf numFmtId="164" fontId="27" fillId="0" borderId="22" xfId="94" applyNumberFormat="1" applyFont="1" applyBorder="1" applyAlignment="1">
      <alignment horizontal="centerContinuous" vertical="center"/>
    </xf>
    <xf numFmtId="168" fontId="31" fillId="0" borderId="37" xfId="94" applyFont="1" applyBorder="1" applyAlignment="1">
      <alignment horizontal="centerContinuous" vertical="center"/>
    </xf>
    <xf numFmtId="168" fontId="13" fillId="0" borderId="37" xfId="94" applyFont="1" applyBorder="1" applyAlignment="1">
      <alignment horizontal="centerContinuous" vertical="center"/>
    </xf>
    <xf numFmtId="168" fontId="37" fillId="0" borderId="0" xfId="94" applyFont="1"/>
    <xf numFmtId="164" fontId="27" fillId="0" borderId="20" xfId="94" applyNumberFormat="1" applyFont="1" applyBorder="1" applyAlignment="1">
      <alignment horizontal="left" vertical="center"/>
    </xf>
    <xf numFmtId="168" fontId="13" fillId="0" borderId="24" xfId="94" applyFont="1" applyBorder="1" applyAlignment="1">
      <alignment vertical="center"/>
    </xf>
    <xf numFmtId="164" fontId="27" fillId="0" borderId="0" xfId="94" applyNumberFormat="1" applyFont="1" applyAlignment="1">
      <alignment horizontal="left" vertical="center"/>
    </xf>
    <xf numFmtId="168" fontId="27" fillId="0" borderId="20" xfId="94" applyFont="1" applyBorder="1" applyAlignment="1">
      <alignment vertical="center"/>
    </xf>
    <xf numFmtId="168" fontId="27" fillId="0" borderId="24" xfId="94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" vertical="center"/>
    </xf>
    <xf numFmtId="164" fontId="37" fillId="0" borderId="26" xfId="94" applyNumberFormat="1" applyFont="1" applyBorder="1" applyAlignment="1">
      <alignment horizontal="centerContinuous" vertical="center"/>
    </xf>
    <xf numFmtId="168" fontId="44" fillId="0" borderId="38" xfId="94" applyFont="1" applyBorder="1" applyAlignment="1">
      <alignment horizontal="centerContinuous" vertical="center"/>
    </xf>
    <xf numFmtId="164" fontId="27" fillId="0" borderId="26" xfId="94" applyNumberFormat="1" applyFont="1" applyBorder="1" applyAlignment="1">
      <alignment horizontal="centerContinuous" vertical="center"/>
    </xf>
    <xf numFmtId="168" fontId="13" fillId="0" borderId="38" xfId="94" applyFont="1" applyBorder="1" applyAlignment="1">
      <alignment horizontal="centerContinuous" vertical="center"/>
    </xf>
    <xf numFmtId="168" fontId="13" fillId="0" borderId="26" xfId="94" applyFont="1" applyBorder="1" applyAlignment="1">
      <alignment vertical="center"/>
    </xf>
    <xf numFmtId="168" fontId="13" fillId="0" borderId="38" xfId="94" applyFont="1" applyBorder="1" applyAlignment="1">
      <alignment vertical="center"/>
    </xf>
    <xf numFmtId="168" fontId="13" fillId="0" borderId="0" xfId="94" applyFont="1" applyAlignment="1">
      <alignment horizontal="center" vertical="center"/>
    </xf>
    <xf numFmtId="168" fontId="36" fillId="0" borderId="0" xfId="94" applyFont="1" applyAlignment="1">
      <alignment horizontal="left"/>
    </xf>
    <xf numFmtId="168" fontId="27" fillId="0" borderId="24" xfId="94" applyFont="1" applyBorder="1" applyAlignment="1">
      <alignment vertical="center"/>
    </xf>
    <xf numFmtId="164" fontId="27" fillId="0" borderId="20" xfId="94" applyNumberFormat="1" applyFont="1" applyBorder="1" applyAlignment="1">
      <alignment horizontal="centerContinuous" vertical="center"/>
    </xf>
    <xf numFmtId="164" fontId="27" fillId="0" borderId="21" xfId="94" applyNumberFormat="1" applyFont="1" applyBorder="1" applyAlignment="1">
      <alignment horizontal="center" vertical="center"/>
    </xf>
    <xf numFmtId="164" fontId="27" fillId="0" borderId="0" xfId="94" applyNumberFormat="1" applyFont="1" applyAlignment="1">
      <alignment horizontal="center" vertical="center"/>
    </xf>
    <xf numFmtId="168" fontId="55" fillId="0" borderId="0" xfId="94" applyFont="1" applyAlignment="1">
      <alignment horizontal="center" vertical="center"/>
    </xf>
    <xf numFmtId="1" fontId="27" fillId="0" borderId="0" xfId="94" applyNumberFormat="1" applyFont="1" applyAlignment="1">
      <alignment horizontal="center" vertical="center"/>
    </xf>
    <xf numFmtId="168" fontId="27" fillId="0" borderId="26" xfId="94" applyFont="1" applyBorder="1" applyAlignment="1">
      <alignment vertical="center"/>
    </xf>
    <xf numFmtId="168" fontId="27" fillId="0" borderId="19" xfId="94" applyFont="1" applyBorder="1" applyAlignment="1">
      <alignment vertical="center"/>
    </xf>
    <xf numFmtId="168" fontId="27" fillId="0" borderId="38" xfId="94" applyFont="1" applyBorder="1" applyAlignment="1">
      <alignment vertical="center"/>
    </xf>
    <xf numFmtId="164" fontId="27" fillId="0" borderId="25" xfId="94" applyNumberFormat="1" applyFont="1" applyBorder="1" applyAlignment="1">
      <alignment horizontal="center" vertical="center"/>
    </xf>
    <xf numFmtId="1" fontId="56" fillId="0" borderId="0" xfId="94" applyNumberFormat="1" applyFont="1" applyAlignment="1">
      <alignment vertical="center"/>
    </xf>
    <xf numFmtId="1" fontId="56" fillId="0" borderId="0" xfId="94" applyNumberFormat="1" applyFont="1" applyAlignment="1">
      <alignment horizontal="center" vertical="center"/>
    </xf>
    <xf numFmtId="168" fontId="27" fillId="0" borderId="0" xfId="94" applyFont="1" applyAlignment="1">
      <alignment horizontal="right" vertical="center"/>
    </xf>
    <xf numFmtId="168" fontId="27" fillId="0" borderId="39" xfId="94" applyFont="1" applyBorder="1" applyAlignment="1">
      <alignment vertical="center"/>
    </xf>
    <xf numFmtId="168" fontId="27" fillId="0" borderId="33" xfId="94" applyFont="1" applyBorder="1" applyAlignment="1">
      <alignment horizontal="center" vertical="center"/>
    </xf>
    <xf numFmtId="164" fontId="27" fillId="0" borderId="33" xfId="94" applyNumberFormat="1" applyFont="1" applyBorder="1" applyAlignment="1">
      <alignment horizontal="center" vertical="center"/>
    </xf>
    <xf numFmtId="164" fontId="13" fillId="0" borderId="20" xfId="94" applyNumberFormat="1" applyFont="1" applyBorder="1" applyAlignment="1">
      <alignment horizontal="left" vertical="center"/>
    </xf>
    <xf numFmtId="168" fontId="13" fillId="0" borderId="40" xfId="94" applyFont="1" applyBorder="1" applyAlignment="1">
      <alignment vertical="center"/>
    </xf>
    <xf numFmtId="164" fontId="13" fillId="0" borderId="34" xfId="94" applyNumberFormat="1" applyFont="1" applyBorder="1" applyAlignment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70" fontId="55" fillId="0" borderId="0" xfId="94" applyNumberFormat="1" applyFont="1" applyAlignment="1">
      <alignment vertical="center"/>
    </xf>
    <xf numFmtId="165" fontId="13" fillId="0" borderId="0" xfId="94" applyNumberFormat="1" applyFont="1" applyAlignment="1">
      <alignment horizontal="right" vertical="center"/>
    </xf>
    <xf numFmtId="168" fontId="13" fillId="0" borderId="42" xfId="94" applyFont="1" applyBorder="1" applyAlignment="1">
      <alignment vertical="center"/>
    </xf>
    <xf numFmtId="168" fontId="13" fillId="0" borderId="43" xfId="94" applyFont="1" applyBorder="1" applyAlignment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64" fontId="13" fillId="0" borderId="42" xfId="94" applyNumberFormat="1" applyFont="1" applyBorder="1" applyAlignment="1">
      <alignment vertical="center"/>
    </xf>
    <xf numFmtId="0" fontId="13" fillId="0" borderId="20" xfId="94" applyNumberFormat="1" applyFont="1" applyBorder="1" applyAlignment="1">
      <alignment vertical="center"/>
    </xf>
    <xf numFmtId="164" fontId="27" fillId="0" borderId="39" xfId="94" applyNumberFormat="1" applyFont="1" applyBorder="1" applyAlignment="1">
      <alignment vertical="center"/>
    </xf>
    <xf numFmtId="0" fontId="27" fillId="0" borderId="33" xfId="94" applyNumberFormat="1" applyFont="1" applyBorder="1" applyAlignment="1">
      <alignment vertical="center"/>
    </xf>
    <xf numFmtId="170" fontId="27" fillId="0" borderId="33" xfId="94" applyNumberFormat="1" applyFont="1" applyBorder="1" applyAlignment="1">
      <alignment vertical="center"/>
    </xf>
    <xf numFmtId="170" fontId="13" fillId="0" borderId="0" xfId="94" applyNumberFormat="1" applyFont="1" applyAlignment="1">
      <alignment vertical="center"/>
    </xf>
    <xf numFmtId="0" fontId="13" fillId="0" borderId="44" xfId="94" applyNumberFormat="1" applyFont="1" applyBorder="1" applyAlignment="1">
      <alignment vertical="center"/>
    </xf>
    <xf numFmtId="0" fontId="13" fillId="0" borderId="45" xfId="94" applyNumberFormat="1" applyFont="1" applyBorder="1" applyAlignment="1">
      <alignment vertical="center"/>
    </xf>
    <xf numFmtId="168" fontId="13" fillId="29" borderId="21" xfId="94" applyFont="1" applyFill="1" applyBorder="1" applyAlignment="1">
      <alignment vertical="center"/>
    </xf>
    <xf numFmtId="168" fontId="13" fillId="29" borderId="23" xfId="94" applyFont="1" applyFill="1" applyBorder="1" applyAlignment="1">
      <alignment vertical="center"/>
    </xf>
    <xf numFmtId="0" fontId="13" fillId="0" borderId="43" xfId="94" applyNumberFormat="1" applyFont="1" applyBorder="1" applyAlignment="1">
      <alignment vertical="center"/>
    </xf>
    <xf numFmtId="168" fontId="13" fillId="29" borderId="25" xfId="94" applyFont="1" applyFill="1" applyBorder="1" applyAlignment="1">
      <alignment vertical="center"/>
    </xf>
    <xf numFmtId="164" fontId="13" fillId="0" borderId="0" xfId="94" applyNumberFormat="1" applyFont="1" applyAlignment="1">
      <alignment horizontal="left" vertical="center"/>
    </xf>
    <xf numFmtId="165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horizontal="right" vertical="center"/>
    </xf>
    <xf numFmtId="175" fontId="13" fillId="0" borderId="25" xfId="94" applyNumberFormat="1" applyFont="1" applyBorder="1" applyAlignment="1">
      <alignment horizontal="right" vertical="center"/>
    </xf>
    <xf numFmtId="175" fontId="13" fillId="0" borderId="17" xfId="94" applyNumberFormat="1" applyFont="1" applyBorder="1" applyAlignment="1">
      <alignment horizontal="right" vertical="center"/>
    </xf>
    <xf numFmtId="167" fontId="13" fillId="0" borderId="0" xfId="94" applyNumberFormat="1" applyFont="1" applyAlignment="1">
      <alignment horizontal="left" vertical="center"/>
    </xf>
    <xf numFmtId="168" fontId="29" fillId="0" borderId="0" xfId="94" applyFont="1" applyAlignment="1">
      <alignment vertical="center"/>
    </xf>
    <xf numFmtId="1" fontId="29" fillId="0" borderId="0" xfId="94" applyNumberFormat="1" applyFont="1" applyAlignment="1">
      <alignment vertical="center"/>
    </xf>
    <xf numFmtId="168" fontId="38" fillId="0" borderId="0" xfId="94" applyFont="1" applyAlignment="1">
      <alignment vertical="center"/>
    </xf>
    <xf numFmtId="168" fontId="13" fillId="0" borderId="0" xfId="94" quotePrefix="1" applyFont="1" applyAlignment="1">
      <alignment vertical="center"/>
    </xf>
    <xf numFmtId="168" fontId="13" fillId="0" borderId="0" xfId="94" quotePrefix="1" applyFont="1" applyAlignment="1">
      <alignment horizontal="right" vertical="center"/>
    </xf>
    <xf numFmtId="168" fontId="32" fillId="0" borderId="0" xfId="94" applyFont="1" applyAlignment="1">
      <alignment horizontal="right" vertical="center"/>
    </xf>
    <xf numFmtId="168" fontId="53" fillId="0" borderId="0" xfId="94" applyFont="1" applyAlignment="1">
      <alignment vertical="center"/>
    </xf>
    <xf numFmtId="168" fontId="53" fillId="0" borderId="0" xfId="94" applyFont="1" applyAlignment="1">
      <alignment horizontal="right" vertical="center"/>
    </xf>
    <xf numFmtId="2" fontId="55" fillId="0" borderId="0" xfId="94" applyNumberFormat="1" applyFont="1" applyAlignment="1">
      <alignment vertical="center"/>
    </xf>
    <xf numFmtId="164" fontId="27" fillId="0" borderId="22" xfId="94" applyNumberFormat="1" applyFont="1" applyBorder="1" applyAlignment="1">
      <alignment horizontal="left" vertical="center"/>
    </xf>
    <xf numFmtId="164" fontId="27" fillId="0" borderId="36" xfId="94" applyNumberFormat="1" applyFont="1" applyBorder="1" applyAlignment="1">
      <alignment horizontal="left" vertical="center"/>
    </xf>
    <xf numFmtId="168" fontId="13" fillId="0" borderId="36" xfId="94" applyFont="1" applyBorder="1" applyAlignment="1">
      <alignment vertical="center"/>
    </xf>
    <xf numFmtId="168" fontId="27" fillId="0" borderId="21" xfId="94" applyFont="1" applyBorder="1" applyAlignment="1">
      <alignment vertical="center"/>
    </xf>
    <xf numFmtId="168" fontId="27" fillId="0" borderId="37" xfId="94" applyFont="1" applyBorder="1" applyAlignment="1">
      <alignment horizontal="center" vertical="center"/>
    </xf>
    <xf numFmtId="2" fontId="29" fillId="0" borderId="0" xfId="94" applyNumberFormat="1" applyFont="1" applyAlignment="1">
      <alignment vertical="center"/>
    </xf>
    <xf numFmtId="164" fontId="27" fillId="0" borderId="26" xfId="94" applyNumberFormat="1" applyFont="1" applyBorder="1" applyAlignment="1">
      <alignment horizontal="left" vertical="center"/>
    </xf>
    <xf numFmtId="168" fontId="27" fillId="0" borderId="25" xfId="94" applyFont="1" applyBorder="1" applyAlignment="1">
      <alignment vertical="center"/>
    </xf>
    <xf numFmtId="164" fontId="13" fillId="0" borderId="46" xfId="94" applyNumberFormat="1" applyFont="1" applyBorder="1" applyAlignment="1">
      <alignment horizontal="left" vertical="center"/>
    </xf>
    <xf numFmtId="164" fontId="13" fillId="0" borderId="41" xfId="94" applyNumberFormat="1" applyFont="1" applyBorder="1" applyAlignment="1">
      <alignment horizontal="left" vertical="center"/>
    </xf>
    <xf numFmtId="164" fontId="13" fillId="0" borderId="35" xfId="94" applyNumberFormat="1" applyFont="1" applyBorder="1" applyAlignment="1">
      <alignment horizontal="left" vertical="center"/>
    </xf>
    <xf numFmtId="164" fontId="13" fillId="0" borderId="42" xfId="94" applyNumberFormat="1" applyFont="1" applyBorder="1" applyAlignment="1">
      <alignment horizontal="left" vertical="center"/>
    </xf>
    <xf numFmtId="164" fontId="13" fillId="0" borderId="43" xfId="94" applyNumberFormat="1" applyFont="1" applyBorder="1" applyAlignment="1">
      <alignment horizontal="left" vertical="center"/>
    </xf>
    <xf numFmtId="164" fontId="13" fillId="0" borderId="14" xfId="94" applyNumberFormat="1" applyFont="1" applyBorder="1" applyAlignment="1">
      <alignment horizontal="left" vertical="center"/>
    </xf>
    <xf numFmtId="2" fontId="13" fillId="29" borderId="27" xfId="94" applyNumberFormat="1" applyFont="1" applyFill="1" applyBorder="1" applyAlignment="1">
      <alignment horizontal="right" vertical="center" indent="1"/>
    </xf>
    <xf numFmtId="168" fontId="13" fillId="29" borderId="28" xfId="94" applyFont="1" applyFill="1" applyBorder="1" applyAlignment="1">
      <alignment vertical="center"/>
    </xf>
    <xf numFmtId="168" fontId="27" fillId="0" borderId="0" xfId="94" applyFont="1" applyAlignment="1">
      <alignment horizontal="left" vertical="center"/>
    </xf>
    <xf numFmtId="164" fontId="13" fillId="0" borderId="44" xfId="94" applyNumberFormat="1" applyFont="1" applyBorder="1" applyAlignment="1">
      <alignment horizontal="left" vertical="center"/>
    </xf>
    <xf numFmtId="164" fontId="13" fillId="0" borderId="45" xfId="94" applyNumberFormat="1" applyFont="1" applyBorder="1" applyAlignment="1">
      <alignment horizontal="left" vertical="center"/>
    </xf>
    <xf numFmtId="164" fontId="13" fillId="0" borderId="28" xfId="94" applyNumberFormat="1" applyFont="1" applyBorder="1" applyAlignment="1">
      <alignment horizontal="left" vertical="center"/>
    </xf>
    <xf numFmtId="2" fontId="13" fillId="29" borderId="25" xfId="94" applyNumberFormat="1" applyFont="1" applyFill="1" applyBorder="1" applyAlignment="1">
      <alignment horizontal="right" vertical="center" indent="1"/>
    </xf>
    <xf numFmtId="168" fontId="13" fillId="29" borderId="38" xfId="94" applyFont="1" applyFill="1" applyBorder="1" applyAlignment="1">
      <alignment vertical="center"/>
    </xf>
    <xf numFmtId="168" fontId="55" fillId="0" borderId="0" xfId="94" applyFont="1" applyAlignment="1">
      <alignment horizontal="right" vertical="center"/>
    </xf>
    <xf numFmtId="168" fontId="13" fillId="0" borderId="0" xfId="94" applyFont="1" applyAlignment="1">
      <alignment horizontal="right" vertical="center"/>
    </xf>
    <xf numFmtId="168" fontId="59" fillId="0" borderId="0" xfId="94" applyFont="1" applyAlignment="1">
      <alignment vertical="center"/>
    </xf>
    <xf numFmtId="166" fontId="13" fillId="0" borderId="0" xfId="94" applyNumberFormat="1" applyFont="1" applyAlignment="1">
      <alignment vertical="center"/>
    </xf>
    <xf numFmtId="175" fontId="13" fillId="0" borderId="17" xfId="94" applyNumberFormat="1" applyFont="1" applyBorder="1" applyAlignment="1">
      <alignment vertical="center"/>
    </xf>
    <xf numFmtId="165" fontId="27" fillId="0" borderId="0" xfId="94" applyNumberFormat="1" applyFont="1" applyAlignment="1">
      <alignment vertical="center"/>
    </xf>
    <xf numFmtId="164" fontId="13" fillId="0" borderId="36" xfId="94" applyNumberFormat="1" applyFont="1" applyBorder="1" applyAlignment="1">
      <alignment horizontal="left" vertical="center"/>
    </xf>
    <xf numFmtId="165" fontId="13" fillId="0" borderId="36" xfId="94" applyNumberFormat="1" applyFont="1" applyBorder="1" applyAlignment="1">
      <alignment vertical="center"/>
    </xf>
    <xf numFmtId="167" fontId="13" fillId="0" borderId="36" xfId="94" applyNumberFormat="1" applyFont="1" applyBorder="1" applyAlignment="1">
      <alignment vertical="center"/>
    </xf>
    <xf numFmtId="167" fontId="13" fillId="0" borderId="37" xfId="94" applyNumberFormat="1" applyFont="1" applyBorder="1" applyAlignment="1">
      <alignment horizontal="left" vertical="center"/>
    </xf>
    <xf numFmtId="164" fontId="13" fillId="0" borderId="22" xfId="94" applyNumberFormat="1" applyFont="1" applyBorder="1" applyAlignment="1">
      <alignment horizontal="left" vertical="center"/>
    </xf>
    <xf numFmtId="165" fontId="13" fillId="0" borderId="20" xfId="94" applyNumberFormat="1" applyFont="1" applyBorder="1" applyAlignment="1">
      <alignment vertical="center"/>
    </xf>
    <xf numFmtId="168" fontId="13" fillId="0" borderId="21" xfId="94" applyFont="1" applyBorder="1" applyAlignment="1">
      <alignment horizontal="center" vertical="center"/>
    </xf>
    <xf numFmtId="165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left" vertical="center"/>
    </xf>
    <xf numFmtId="164" fontId="27" fillId="0" borderId="24" xfId="94" applyNumberFormat="1" applyFont="1" applyBorder="1" applyAlignment="1">
      <alignment horizontal="left" vertical="center"/>
    </xf>
    <xf numFmtId="168" fontId="13" fillId="0" borderId="25" xfId="94" applyFont="1" applyBorder="1" applyAlignment="1">
      <alignment horizontal="center" vertical="center"/>
    </xf>
    <xf numFmtId="165" fontId="13" fillId="0" borderId="25" xfId="94" quotePrefix="1" applyNumberFormat="1" applyFont="1" applyBorder="1" applyAlignment="1">
      <alignment horizontal="center" vertical="center"/>
    </xf>
    <xf numFmtId="167" fontId="13" fillId="0" borderId="25" xfId="94" applyNumberFormat="1" applyFont="1" applyBorder="1" applyAlignment="1">
      <alignment horizontal="center" vertical="center"/>
    </xf>
    <xf numFmtId="1" fontId="47" fillId="0" borderId="0" xfId="94" applyNumberFormat="1" applyFont="1" applyAlignment="1">
      <alignment vertical="center"/>
    </xf>
    <xf numFmtId="165" fontId="13" fillId="29" borderId="21" xfId="94" applyNumberFormat="1" applyFont="1" applyFill="1" applyBorder="1" applyAlignment="1">
      <alignment horizontal="left" vertical="center"/>
    </xf>
    <xf numFmtId="164" fontId="13" fillId="0" borderId="40" xfId="94" applyNumberFormat="1" applyFont="1" applyBorder="1" applyAlignment="1">
      <alignment horizontal="left" vertical="center"/>
    </xf>
    <xf numFmtId="165" fontId="13" fillId="25" borderId="29" xfId="94" applyNumberFormat="1" applyFont="1" applyFill="1" applyBorder="1" applyAlignment="1" applyProtection="1">
      <alignment vertical="center"/>
      <protection locked="0"/>
    </xf>
    <xf numFmtId="165" fontId="13" fillId="29" borderId="23" xfId="94" applyNumberFormat="1" applyFont="1" applyFill="1" applyBorder="1" applyAlignment="1">
      <alignment horizontal="left" vertical="center"/>
    </xf>
    <xf numFmtId="168" fontId="13" fillId="0" borderId="22" xfId="94" applyFont="1" applyBorder="1" applyAlignment="1">
      <alignment vertical="center"/>
    </xf>
    <xf numFmtId="168" fontId="13" fillId="0" borderId="34" xfId="94" applyFont="1" applyBorder="1" applyAlignment="1">
      <alignment vertical="center"/>
    </xf>
    <xf numFmtId="165" fontId="13" fillId="29" borderId="15" xfId="94" applyNumberFormat="1" applyFont="1" applyFill="1" applyBorder="1" applyAlignment="1">
      <alignment horizontal="left" vertical="center"/>
    </xf>
    <xf numFmtId="165" fontId="13" fillId="29" borderId="27" xfId="94" applyNumberFormat="1" applyFont="1" applyFill="1" applyBorder="1" applyAlignment="1">
      <alignment vertical="center"/>
    </xf>
    <xf numFmtId="165" fontId="13" fillId="29" borderId="23" xfId="94" applyNumberFormat="1" applyFont="1" applyFill="1" applyBorder="1" applyAlignment="1">
      <alignment vertical="center"/>
    </xf>
    <xf numFmtId="165" fontId="13" fillId="29" borderId="15" xfId="94" applyNumberFormat="1" applyFont="1" applyFill="1" applyBorder="1" applyAlignment="1">
      <alignment vertical="center"/>
    </xf>
    <xf numFmtId="168" fontId="13" fillId="0" borderId="47" xfId="94" applyFont="1" applyBorder="1" applyAlignment="1">
      <alignment vertical="center"/>
    </xf>
    <xf numFmtId="165" fontId="13" fillId="29" borderId="25" xfId="94" applyNumberFormat="1" applyFont="1" applyFill="1" applyBorder="1" applyAlignment="1">
      <alignment vertical="center"/>
    </xf>
    <xf numFmtId="165" fontId="13" fillId="0" borderId="38" xfId="94" applyNumberFormat="1" applyFont="1" applyBorder="1" applyAlignment="1">
      <alignment vertical="center"/>
    </xf>
    <xf numFmtId="165" fontId="13" fillId="0" borderId="48" xfId="94" applyNumberFormat="1" applyFont="1" applyBorder="1" applyAlignment="1">
      <alignment vertical="center"/>
    </xf>
    <xf numFmtId="165" fontId="13" fillId="0" borderId="0" xfId="94" applyNumberFormat="1" applyFont="1" applyAlignment="1">
      <alignment horizontal="left" vertical="center"/>
    </xf>
    <xf numFmtId="168" fontId="39" fillId="0" borderId="0" xfId="94" applyFont="1" applyAlignment="1">
      <alignment horizontal="right" vertical="center"/>
    </xf>
    <xf numFmtId="165" fontId="13" fillId="0" borderId="19" xfId="94" applyNumberFormat="1" applyFont="1" applyBorder="1" applyAlignment="1">
      <alignment vertical="center"/>
    </xf>
    <xf numFmtId="168" fontId="13" fillId="0" borderId="37" xfId="94" applyFont="1" applyBorder="1" applyAlignment="1">
      <alignment vertical="center"/>
    </xf>
    <xf numFmtId="165" fontId="27" fillId="0" borderId="22" xfId="94" applyNumberFormat="1" applyFont="1" applyBorder="1" applyAlignment="1">
      <alignment horizontal="centerContinuous" vertical="center"/>
    </xf>
    <xf numFmtId="168" fontId="27" fillId="0" borderId="37" xfId="94" applyFont="1" applyBorder="1" applyAlignment="1">
      <alignment horizontal="centerContinuous" vertical="center"/>
    </xf>
    <xf numFmtId="168" fontId="55" fillId="0" borderId="0" xfId="94" applyFont="1" applyAlignment="1">
      <alignment horizontal="left" vertical="center"/>
    </xf>
    <xf numFmtId="175" fontId="13" fillId="25" borderId="29" xfId="94" applyNumberFormat="1" applyFont="1" applyFill="1" applyBorder="1" applyAlignment="1" applyProtection="1">
      <alignment vertical="center"/>
      <protection locked="0"/>
    </xf>
    <xf numFmtId="165" fontId="27" fillId="0" borderId="26" xfId="94" applyNumberFormat="1" applyFont="1" applyBorder="1" applyAlignment="1">
      <alignment horizontal="centerContinuous" vertical="center"/>
    </xf>
    <xf numFmtId="168" fontId="27" fillId="0" borderId="38" xfId="94" applyFont="1" applyBorder="1" applyAlignment="1">
      <alignment horizontal="centerContinuous" vertical="center"/>
    </xf>
    <xf numFmtId="165" fontId="27" fillId="0" borderId="26" xfId="94" applyNumberFormat="1" applyFont="1" applyBorder="1" applyAlignment="1">
      <alignment vertical="center"/>
    </xf>
    <xf numFmtId="164" fontId="27" fillId="0" borderId="25" xfId="94" applyNumberFormat="1" applyFont="1" applyBorder="1" applyAlignment="1">
      <alignment horizontal="right" vertical="center"/>
    </xf>
    <xf numFmtId="164" fontId="27" fillId="0" borderId="26" xfId="94" applyNumberFormat="1" applyFont="1" applyBorder="1" applyAlignment="1">
      <alignment horizontal="center" vertical="center"/>
    </xf>
    <xf numFmtId="164" fontId="27" fillId="0" borderId="17" xfId="94" applyNumberFormat="1" applyFont="1" applyBorder="1" applyAlignment="1">
      <alignment horizontal="center" vertical="center"/>
    </xf>
    <xf numFmtId="164" fontId="27" fillId="0" borderId="48" xfId="94" applyNumberFormat="1" applyFont="1" applyBorder="1" applyAlignment="1">
      <alignment horizontal="center" vertical="center"/>
    </xf>
    <xf numFmtId="1" fontId="13" fillId="29" borderId="21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centerContinuous" vertical="center"/>
    </xf>
    <xf numFmtId="1" fontId="13" fillId="29" borderId="23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left" vertical="center"/>
    </xf>
    <xf numFmtId="1" fontId="13" fillId="29" borderId="49" xfId="94" applyNumberFormat="1" applyFont="1" applyFill="1" applyBorder="1" applyAlignment="1">
      <alignment vertical="center"/>
    </xf>
    <xf numFmtId="164" fontId="27" fillId="0" borderId="50" xfId="94" applyNumberFormat="1" applyFont="1" applyBorder="1" applyAlignment="1">
      <alignment horizontal="left" vertical="center"/>
    </xf>
    <xf numFmtId="164" fontId="27" fillId="0" borderId="51" xfId="94" applyNumberFormat="1" applyFont="1" applyBorder="1" applyAlignment="1">
      <alignment horizontal="left" vertical="center"/>
    </xf>
    <xf numFmtId="164" fontId="27" fillId="0" borderId="52" xfId="94" applyNumberFormat="1" applyFont="1" applyBorder="1" applyAlignment="1">
      <alignment horizontal="left" vertical="center"/>
    </xf>
    <xf numFmtId="167" fontId="27" fillId="0" borderId="53" xfId="94" applyNumberFormat="1" applyFont="1" applyBorder="1" applyAlignment="1">
      <alignment vertical="center"/>
    </xf>
    <xf numFmtId="167" fontId="27" fillId="0" borderId="54" xfId="94" applyNumberFormat="1" applyFont="1" applyBorder="1" applyAlignment="1">
      <alignment vertical="center"/>
    </xf>
    <xf numFmtId="49" fontId="36" fillId="26" borderId="0" xfId="94" applyNumberFormat="1" applyFont="1" applyFill="1" applyAlignment="1">
      <alignment vertical="center"/>
    </xf>
    <xf numFmtId="1" fontId="13" fillId="0" borderId="26" xfId="94" applyNumberFormat="1" applyFont="1" applyBorder="1" applyAlignment="1">
      <alignment vertical="center"/>
    </xf>
    <xf numFmtId="1" fontId="13" fillId="0" borderId="19" xfId="94" applyNumberFormat="1" applyFont="1" applyBorder="1" applyAlignment="1">
      <alignment vertical="center"/>
    </xf>
    <xf numFmtId="1" fontId="13" fillId="0" borderId="38" xfId="94" applyNumberFormat="1" applyFont="1" applyBorder="1" applyAlignment="1">
      <alignment vertical="center"/>
    </xf>
    <xf numFmtId="1" fontId="27" fillId="0" borderId="0" xfId="94" applyNumberFormat="1" applyFont="1" applyAlignment="1">
      <alignment vertical="center"/>
    </xf>
    <xf numFmtId="168" fontId="58" fillId="0" borderId="0" xfId="94" applyFont="1" applyAlignment="1">
      <alignment vertical="center"/>
    </xf>
    <xf numFmtId="2" fontId="32" fillId="0" borderId="0" xfId="94" applyNumberFormat="1" applyFont="1" applyAlignment="1">
      <alignment horizontal="left" vertical="center"/>
    </xf>
    <xf numFmtId="168" fontId="27" fillId="0" borderId="55" xfId="94" applyFont="1" applyBorder="1" applyAlignment="1">
      <alignment vertical="center"/>
    </xf>
    <xf numFmtId="168" fontId="27" fillId="0" borderId="56" xfId="94" applyFont="1" applyBorder="1" applyAlignment="1">
      <alignment vertical="center"/>
    </xf>
    <xf numFmtId="168" fontId="13" fillId="0" borderId="56" xfId="94" applyFont="1" applyBorder="1" applyAlignment="1">
      <alignment vertical="center"/>
    </xf>
    <xf numFmtId="1" fontId="13" fillId="0" borderId="56" xfId="94" applyNumberFormat="1" applyFont="1" applyBorder="1" applyAlignment="1">
      <alignment vertical="center"/>
    </xf>
    <xf numFmtId="1" fontId="13" fillId="0" borderId="57" xfId="94" applyNumberFormat="1" applyFont="1" applyBorder="1" applyAlignment="1">
      <alignment horizontal="center" vertical="center"/>
    </xf>
    <xf numFmtId="1" fontId="13" fillId="0" borderId="58" xfId="94" applyNumberFormat="1" applyFont="1" applyBorder="1" applyAlignment="1">
      <alignment horizontal="center" vertical="center"/>
    </xf>
    <xf numFmtId="168" fontId="27" fillId="26" borderId="0" xfId="94" applyFont="1" applyFill="1" applyAlignment="1">
      <alignment vertical="center"/>
    </xf>
    <xf numFmtId="168" fontId="37" fillId="0" borderId="0" xfId="94" applyFont="1" applyAlignment="1">
      <alignment vertical="center"/>
    </xf>
    <xf numFmtId="168" fontId="33" fillId="0" borderId="0" xfId="94" applyFont="1" applyAlignment="1">
      <alignment vertical="center"/>
    </xf>
    <xf numFmtId="168" fontId="36" fillId="0" borderId="0" xfId="94" quotePrefix="1" applyFont="1" applyAlignment="1">
      <alignment vertical="center"/>
    </xf>
    <xf numFmtId="168" fontId="53" fillId="26" borderId="0" xfId="94" applyFont="1" applyFill="1" applyAlignment="1">
      <alignment vertical="center"/>
    </xf>
    <xf numFmtId="2" fontId="32" fillId="0" borderId="0" xfId="94" applyNumberFormat="1" applyFont="1" applyAlignment="1">
      <alignment horizontal="right" vertical="center"/>
    </xf>
    <xf numFmtId="0" fontId="26" fillId="28" borderId="34" xfId="0" applyFont="1" applyFill="1" applyBorder="1" applyProtection="1">
      <protection locked="0"/>
    </xf>
    <xf numFmtId="168" fontId="13" fillId="0" borderId="44" xfId="94" applyFont="1" applyBorder="1" applyAlignment="1">
      <alignment vertical="center"/>
    </xf>
    <xf numFmtId="168" fontId="13" fillId="0" borderId="45" xfId="94" applyFont="1" applyBorder="1" applyAlignment="1">
      <alignment vertical="center"/>
    </xf>
    <xf numFmtId="164" fontId="27" fillId="0" borderId="17" xfId="94" applyNumberFormat="1" applyFont="1" applyBorder="1" applyAlignment="1">
      <alignment horizontal="centerContinuous" vertical="center"/>
    </xf>
    <xf numFmtId="167" fontId="13" fillId="0" borderId="36" xfId="94" applyNumberFormat="1" applyFont="1" applyBorder="1" applyAlignment="1">
      <alignment horizontal="left" vertical="center"/>
    </xf>
    <xf numFmtId="167" fontId="13" fillId="0" borderId="40" xfId="94" applyNumberFormat="1" applyFont="1" applyBorder="1" applyAlignment="1">
      <alignment horizontal="centerContinuous" vertical="center"/>
    </xf>
    <xf numFmtId="167" fontId="13" fillId="0" borderId="59" xfId="94" applyNumberFormat="1" applyFont="1" applyBorder="1" applyAlignment="1">
      <alignment horizontal="centerContinuous" vertical="center"/>
    </xf>
    <xf numFmtId="167" fontId="13" fillId="0" borderId="28" xfId="94" applyNumberFormat="1" applyFont="1" applyBorder="1" applyAlignment="1">
      <alignment horizontal="centerContinuous" vertical="center"/>
    </xf>
    <xf numFmtId="0" fontId="60" fillId="0" borderId="0" xfId="0" applyFont="1"/>
    <xf numFmtId="164" fontId="13" fillId="0" borderId="60" xfId="94" applyNumberFormat="1" applyFont="1" applyBorder="1" applyAlignment="1">
      <alignment horizontal="left" vertical="center"/>
    </xf>
    <xf numFmtId="164" fontId="13" fillId="0" borderId="47" xfId="94" applyNumberFormat="1" applyFont="1" applyBorder="1" applyAlignment="1">
      <alignment horizontal="left" vertical="center"/>
    </xf>
    <xf numFmtId="164" fontId="13" fillId="0" borderId="30" xfId="94" applyNumberFormat="1" applyFont="1" applyBorder="1" applyAlignment="1">
      <alignment horizontal="left" vertical="center"/>
    </xf>
    <xf numFmtId="168" fontId="61" fillId="0" borderId="0" xfId="94" applyFont="1" applyAlignment="1">
      <alignment vertical="center"/>
    </xf>
    <xf numFmtId="166" fontId="13" fillId="0" borderId="31" xfId="94" applyNumberFormat="1" applyFont="1" applyBorder="1" applyAlignment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68" fontId="13" fillId="26" borderId="0" xfId="94" applyFont="1" applyFill="1" applyAlignment="1">
      <alignment vertical="center"/>
    </xf>
    <xf numFmtId="168" fontId="13" fillId="0" borderId="46" xfId="94" applyFont="1" applyBorder="1" applyAlignment="1">
      <alignment vertical="center"/>
    </xf>
    <xf numFmtId="168" fontId="13" fillId="0" borderId="41" xfId="94" applyFont="1" applyBorder="1" applyAlignment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wrapText="1"/>
    </xf>
    <xf numFmtId="172" fontId="13" fillId="0" borderId="0" xfId="0" applyNumberFormat="1" applyFont="1" applyAlignment="1">
      <alignment horizontal="left"/>
    </xf>
    <xf numFmtId="164" fontId="13" fillId="29" borderId="21" xfId="94" applyNumberFormat="1" applyFont="1" applyFill="1" applyBorder="1"/>
    <xf numFmtId="164" fontId="13" fillId="29" borderId="23" xfId="94" applyNumberFormat="1" applyFont="1" applyFill="1" applyBorder="1"/>
    <xf numFmtId="164" fontId="13" fillId="29" borderId="25" xfId="94" applyNumberFormat="1" applyFont="1" applyFill="1" applyBorder="1"/>
    <xf numFmtId="0" fontId="55" fillId="0" borderId="4" xfId="0" applyFont="1" applyBorder="1"/>
    <xf numFmtId="166" fontId="27" fillId="0" borderId="0" xfId="94" applyNumberFormat="1" applyFont="1" applyAlignment="1">
      <alignment vertical="center"/>
    </xf>
    <xf numFmtId="0" fontId="55" fillId="0" borderId="61" xfId="0" applyFont="1" applyBorder="1"/>
    <xf numFmtId="164" fontId="13" fillId="0" borderId="62" xfId="94" applyNumberFormat="1" applyFont="1" applyBorder="1" applyAlignment="1">
      <alignment horizontal="left" vertical="center"/>
    </xf>
    <xf numFmtId="164" fontId="13" fillId="0" borderId="63" xfId="94" applyNumberFormat="1" applyFont="1" applyBorder="1" applyAlignment="1">
      <alignment horizontal="left" vertical="center"/>
    </xf>
    <xf numFmtId="164" fontId="13" fillId="0" borderId="64" xfId="94" applyNumberFormat="1" applyFont="1" applyBorder="1" applyAlignment="1">
      <alignment horizontal="left" vertical="center"/>
    </xf>
    <xf numFmtId="165" fontId="13" fillId="0" borderId="25" xfId="94" applyNumberFormat="1" applyFont="1" applyBorder="1" applyAlignment="1">
      <alignment vertical="center"/>
    </xf>
    <xf numFmtId="165" fontId="13" fillId="0" borderId="52" xfId="94" applyNumberFormat="1" applyFont="1" applyBorder="1" applyAlignment="1">
      <alignment vertical="center"/>
    </xf>
    <xf numFmtId="165" fontId="27" fillId="0" borderId="53" xfId="94" applyNumberFormat="1" applyFont="1" applyBorder="1" applyAlignment="1">
      <alignment vertical="center"/>
    </xf>
    <xf numFmtId="165" fontId="13" fillId="0" borderId="53" xfId="94" applyNumberFormat="1" applyFont="1" applyBorder="1" applyAlignment="1">
      <alignment vertical="center"/>
    </xf>
    <xf numFmtId="165" fontId="13" fillId="0" borderId="65" xfId="94" applyNumberFormat="1" applyFont="1" applyBorder="1" applyAlignment="1">
      <alignment vertical="center"/>
    </xf>
    <xf numFmtId="168" fontId="27" fillId="0" borderId="66" xfId="94" applyFont="1" applyBorder="1" applyAlignment="1">
      <alignment vertical="center"/>
    </xf>
    <xf numFmtId="168" fontId="27" fillId="0" borderId="67" xfId="94" applyFont="1" applyBorder="1" applyAlignment="1">
      <alignment vertical="center"/>
    </xf>
    <xf numFmtId="168" fontId="27" fillId="0" borderId="18" xfId="94" applyFont="1" applyBorder="1" applyAlignment="1">
      <alignment vertical="center"/>
    </xf>
    <xf numFmtId="1" fontId="13" fillId="0" borderId="18" xfId="94" applyNumberFormat="1" applyFont="1" applyBorder="1" applyAlignment="1">
      <alignment vertical="center"/>
    </xf>
    <xf numFmtId="1" fontId="13" fillId="0" borderId="56" xfId="94" applyNumberFormat="1" applyFont="1" applyBorder="1" applyAlignment="1">
      <alignment horizontal="center" vertical="center"/>
    </xf>
    <xf numFmtId="0" fontId="56" fillId="0" borderId="0" xfId="0" applyFont="1"/>
    <xf numFmtId="168" fontId="56" fillId="26" borderId="0" xfId="94" applyFont="1" applyFill="1" applyAlignment="1">
      <alignment vertical="center"/>
    </xf>
    <xf numFmtId="168" fontId="56" fillId="0" borderId="0" xfId="94" applyFont="1" applyAlignment="1">
      <alignment horizontal="right" vertical="center"/>
    </xf>
    <xf numFmtId="1" fontId="33" fillId="0" borderId="0" xfId="94" applyNumberFormat="1" applyFont="1" applyAlignment="1">
      <alignment horizontal="right"/>
    </xf>
    <xf numFmtId="167" fontId="13" fillId="0" borderId="44" xfId="94" applyNumberFormat="1" applyFont="1" applyBorder="1" applyAlignment="1">
      <alignment horizontal="centerContinuous" vertical="center"/>
    </xf>
    <xf numFmtId="1" fontId="13" fillId="0" borderId="0" xfId="94" applyNumberFormat="1" applyFont="1" applyAlignment="1">
      <alignment horizontal="right"/>
    </xf>
    <xf numFmtId="0" fontId="1" fillId="0" borderId="0" xfId="0" applyFont="1"/>
    <xf numFmtId="168" fontId="55" fillId="0" borderId="68" xfId="94" applyFont="1" applyBorder="1" applyAlignment="1">
      <alignment vertical="center"/>
    </xf>
    <xf numFmtId="166" fontId="27" fillId="0" borderId="39" xfId="94" applyNumberFormat="1" applyFont="1" applyBorder="1" applyAlignment="1">
      <alignment horizontal="centerContinuous" vertical="center"/>
    </xf>
    <xf numFmtId="166" fontId="27" fillId="0" borderId="48" xfId="94" applyNumberFormat="1" applyFont="1" applyBorder="1" applyAlignment="1">
      <alignment horizontal="centerContinuous" vertical="center"/>
    </xf>
    <xf numFmtId="168" fontId="13" fillId="0" borderId="0" xfId="94" applyFont="1" applyAlignment="1">
      <alignment horizontal="centerContinuous" vertical="center"/>
    </xf>
    <xf numFmtId="168" fontId="35" fillId="0" borderId="45" xfId="94" applyFont="1" applyBorder="1" applyAlignment="1">
      <alignment vertical="center"/>
    </xf>
    <xf numFmtId="167" fontId="13" fillId="0" borderId="38" xfId="94" applyNumberFormat="1" applyFont="1" applyBorder="1" applyAlignment="1">
      <alignment horizontal="centerContinuous" vertical="center"/>
    </xf>
    <xf numFmtId="167" fontId="13" fillId="0" borderId="24" xfId="94" applyNumberFormat="1" applyFont="1" applyBorder="1" applyAlignment="1">
      <alignment horizontal="centerContinuous" vertical="center"/>
    </xf>
    <xf numFmtId="167" fontId="13" fillId="0" borderId="20" xfId="94" applyNumberFormat="1" applyFont="1" applyBorder="1" applyAlignment="1">
      <alignment horizontal="centerContinuous" vertical="center"/>
    </xf>
    <xf numFmtId="168" fontId="13" fillId="0" borderId="39" xfId="94" applyFont="1" applyBorder="1" applyAlignment="1">
      <alignment vertical="center"/>
    </xf>
    <xf numFmtId="168" fontId="13" fillId="0" borderId="33" xfId="94" applyFont="1" applyBorder="1" applyAlignment="1">
      <alignment vertical="center"/>
    </xf>
    <xf numFmtId="168" fontId="35" fillId="0" borderId="26" xfId="94" applyFont="1" applyBorder="1" applyAlignment="1">
      <alignment vertical="center"/>
    </xf>
    <xf numFmtId="0" fontId="64" fillId="0" borderId="0" xfId="0" applyFont="1"/>
    <xf numFmtId="0" fontId="49" fillId="0" borderId="0" xfId="0" applyFont="1"/>
    <xf numFmtId="0" fontId="31" fillId="0" borderId="0" xfId="0" applyFont="1"/>
    <xf numFmtId="164" fontId="33" fillId="0" borderId="34" xfId="94" applyNumberFormat="1" applyFont="1" applyBorder="1" applyAlignment="1">
      <alignment horizontal="righ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62" fillId="0" borderId="0" xfId="0" applyFont="1"/>
    <xf numFmtId="168" fontId="13" fillId="0" borderId="29" xfId="94" applyFont="1" applyBorder="1" applyAlignment="1">
      <alignment horizontal="center" vertical="center"/>
    </xf>
    <xf numFmtId="168" fontId="13" fillId="0" borderId="16" xfId="94" applyFont="1" applyBorder="1" applyAlignment="1">
      <alignment horizontal="center" vertical="center"/>
    </xf>
    <xf numFmtId="168" fontId="13" fillId="0" borderId="31" xfId="94" applyFont="1" applyBorder="1" applyAlignment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66" fontId="13" fillId="25" borderId="59" xfId="94" applyNumberFormat="1" applyFont="1" applyFill="1" applyBorder="1" applyAlignment="1" applyProtection="1">
      <alignment vertical="center"/>
      <protection locked="0"/>
    </xf>
    <xf numFmtId="168" fontId="13" fillId="0" borderId="17" xfId="94" applyFont="1" applyBorder="1" applyAlignment="1">
      <alignment horizontal="right" vertical="center"/>
    </xf>
    <xf numFmtId="1" fontId="27" fillId="0" borderId="17" xfId="94" applyNumberFormat="1" applyFont="1" applyBorder="1" applyAlignment="1">
      <alignment horizontal="right" vertical="center"/>
    </xf>
    <xf numFmtId="2" fontId="13" fillId="0" borderId="17" xfId="94" applyNumberFormat="1" applyFont="1" applyBorder="1" applyAlignment="1">
      <alignment horizontal="right" vertical="center"/>
    </xf>
    <xf numFmtId="168" fontId="49" fillId="0" borderId="0" xfId="94" applyFont="1" applyAlignment="1">
      <alignment horizontal="right" vertical="center"/>
    </xf>
    <xf numFmtId="164" fontId="65" fillId="0" borderId="0" xfId="94" applyNumberFormat="1" applyFont="1" applyAlignment="1">
      <alignment horizontal="left" vertical="center"/>
    </xf>
    <xf numFmtId="168" fontId="66" fillId="0" borderId="0" xfId="94" applyFont="1" applyAlignment="1">
      <alignment vertical="center"/>
    </xf>
    <xf numFmtId="168" fontId="67" fillId="0" borderId="0" xfId="94" applyFont="1" applyAlignment="1">
      <alignment vertical="center"/>
    </xf>
    <xf numFmtId="168" fontId="66" fillId="0" borderId="0" xfId="94" applyFont="1" applyAlignment="1">
      <alignment horizontal="right" vertical="center"/>
    </xf>
    <xf numFmtId="176" fontId="67" fillId="0" borderId="0" xfId="94" applyNumberFormat="1" applyFont="1" applyAlignment="1">
      <alignment vertical="center"/>
    </xf>
    <xf numFmtId="3" fontId="27" fillId="0" borderId="17" xfId="94" applyNumberFormat="1" applyFont="1" applyBorder="1" applyAlignment="1">
      <alignment horizontal="right" vertical="center"/>
    </xf>
    <xf numFmtId="166" fontId="13" fillId="0" borderId="33" xfId="9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8" fontId="48" fillId="26" borderId="0" xfId="94" applyFont="1" applyFill="1" applyAlignment="1">
      <alignment vertical="center"/>
    </xf>
    <xf numFmtId="164" fontId="25" fillId="26" borderId="0" xfId="94" applyNumberFormat="1" applyFont="1" applyFill="1" applyAlignment="1">
      <alignment vertical="center"/>
    </xf>
    <xf numFmtId="164" fontId="25" fillId="26" borderId="18" xfId="94" applyNumberFormat="1" applyFont="1" applyFill="1" applyBorder="1" applyAlignment="1">
      <alignment vertical="center"/>
    </xf>
    <xf numFmtId="168" fontId="13" fillId="26" borderId="18" xfId="94" applyFont="1" applyFill="1" applyBorder="1" applyAlignment="1">
      <alignment vertical="center"/>
    </xf>
    <xf numFmtId="168" fontId="25" fillId="26" borderId="18" xfId="94" applyFont="1" applyFill="1" applyBorder="1" applyAlignment="1">
      <alignment vertical="center"/>
    </xf>
    <xf numFmtId="168" fontId="30" fillId="26" borderId="18" xfId="94" applyFont="1" applyFill="1" applyBorder="1" applyAlignment="1">
      <alignment vertical="center"/>
    </xf>
    <xf numFmtId="168" fontId="25" fillId="26" borderId="0" xfId="94" applyFont="1" applyFill="1" applyAlignment="1">
      <alignment vertical="center"/>
    </xf>
    <xf numFmtId="168" fontId="30" fillId="26" borderId="0" xfId="94" applyFont="1" applyFill="1" applyAlignment="1">
      <alignment vertical="center"/>
    </xf>
    <xf numFmtId="0" fontId="13" fillId="26" borderId="0" xfId="0" applyFont="1" applyFill="1"/>
    <xf numFmtId="0" fontId="13" fillId="26" borderId="0" xfId="0" applyFont="1" applyFill="1" applyAlignment="1">
      <alignment horizontal="left"/>
    </xf>
    <xf numFmtId="0" fontId="0" fillId="26" borderId="0" xfId="0" applyFill="1"/>
    <xf numFmtId="168" fontId="28" fillId="26" borderId="0" xfId="94" applyFont="1" applyFill="1" applyAlignment="1">
      <alignment vertical="center"/>
    </xf>
    <xf numFmtId="164" fontId="13" fillId="26" borderId="20" xfId="94" applyNumberFormat="1" applyFont="1" applyFill="1" applyBorder="1" applyAlignment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>
      <alignment horizontal="center" vertical="center"/>
    </xf>
    <xf numFmtId="168" fontId="13" fillId="26" borderId="0" xfId="94" applyFont="1" applyFill="1" applyAlignment="1">
      <alignment horizontal="center" vertical="center"/>
    </xf>
    <xf numFmtId="164" fontId="28" fillId="26" borderId="0" xfId="94" applyNumberFormat="1" applyFont="1" applyFill="1" applyAlignment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17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68" fontId="35" fillId="26" borderId="0" xfId="94" applyFont="1" applyFill="1" applyAlignment="1">
      <alignment vertical="center"/>
    </xf>
    <xf numFmtId="171" fontId="13" fillId="0" borderId="0" xfId="94" quotePrefix="1" applyNumberFormat="1" applyFont="1" applyAlignment="1">
      <alignment horizontal="center" vertical="center"/>
    </xf>
    <xf numFmtId="1" fontId="32" fillId="0" borderId="0" xfId="94" applyNumberFormat="1" applyFont="1" applyAlignment="1">
      <alignment vertical="center"/>
    </xf>
    <xf numFmtId="166" fontId="27" fillId="0" borderId="0" xfId="94" applyNumberFormat="1" applyFont="1" applyAlignment="1">
      <alignment horizontal="centerContinuous" vertical="center"/>
    </xf>
    <xf numFmtId="164" fontId="27" fillId="0" borderId="36" xfId="94" applyNumberFormat="1" applyFont="1" applyBorder="1" applyAlignment="1">
      <alignment horizontal="centerContinuous" vertical="center"/>
    </xf>
    <xf numFmtId="168" fontId="31" fillId="0" borderId="36" xfId="94" applyFont="1" applyBorder="1" applyAlignment="1">
      <alignment horizontal="centerContinuous" vertical="center"/>
    </xf>
    <xf numFmtId="164" fontId="37" fillId="0" borderId="19" xfId="94" applyNumberFormat="1" applyFont="1" applyBorder="1" applyAlignment="1">
      <alignment horizontal="centerContinuous" vertical="center"/>
    </xf>
    <xf numFmtId="168" fontId="44" fillId="0" borderId="19" xfId="94" applyFont="1" applyBorder="1" applyAlignment="1">
      <alignment horizontal="centerContinuous" vertical="center"/>
    </xf>
    <xf numFmtId="164" fontId="27" fillId="0" borderId="19" xfId="94" applyNumberFormat="1" applyFont="1" applyBorder="1" applyAlignment="1">
      <alignment horizontal="centerContinuous" vertical="center"/>
    </xf>
    <xf numFmtId="175" fontId="13" fillId="0" borderId="0" xfId="94" applyNumberFormat="1" applyFont="1" applyAlignment="1">
      <alignment horizontal="right" vertical="center"/>
    </xf>
    <xf numFmtId="164" fontId="27" fillId="0" borderId="24" xfId="94" applyNumberFormat="1" applyFont="1" applyBorder="1" applyAlignment="1">
      <alignment horizontal="centerContinuous" vertical="center"/>
    </xf>
    <xf numFmtId="175" fontId="13" fillId="25" borderId="29" xfId="94" applyNumberFormat="1" applyFont="1" applyFill="1" applyBorder="1" applyProtection="1">
      <protection locked="0"/>
    </xf>
    <xf numFmtId="168" fontId="50" fillId="0" borderId="0" xfId="94" applyFont="1" applyAlignment="1">
      <alignment vertical="center"/>
    </xf>
    <xf numFmtId="166" fontId="13" fillId="25" borderId="46" xfId="94" applyNumberFormat="1" applyFont="1" applyFill="1" applyBorder="1" applyAlignment="1" applyProtection="1">
      <alignment vertical="center"/>
      <protection locked="0"/>
    </xf>
    <xf numFmtId="166" fontId="13" fillId="25" borderId="42" xfId="94" applyNumberFormat="1" applyFont="1" applyFill="1" applyBorder="1" applyAlignment="1" applyProtection="1">
      <alignment vertical="center"/>
      <protection locked="0"/>
    </xf>
    <xf numFmtId="166" fontId="13" fillId="25" borderId="60" xfId="94" applyNumberFormat="1" applyFont="1" applyFill="1" applyBorder="1" applyAlignment="1" applyProtection="1">
      <alignment vertical="center"/>
      <protection locked="0"/>
    </xf>
    <xf numFmtId="166" fontId="13" fillId="25" borderId="35" xfId="94" applyNumberFormat="1" applyFont="1" applyFill="1" applyBorder="1" applyAlignment="1" applyProtection="1">
      <alignment vertical="center"/>
      <protection locked="0"/>
    </xf>
    <xf numFmtId="166" fontId="13" fillId="25" borderId="30" xfId="94" applyNumberFormat="1" applyFont="1" applyFill="1" applyBorder="1" applyAlignment="1" applyProtection="1">
      <alignment vertical="center"/>
      <protection locked="0"/>
    </xf>
    <xf numFmtId="168" fontId="66" fillId="0" borderId="0" xfId="94" applyFont="1" applyAlignment="1">
      <alignment horizontal="left" vertical="center"/>
    </xf>
    <xf numFmtId="168" fontId="67" fillId="0" borderId="0" xfId="94" applyFont="1" applyAlignment="1">
      <alignment horizontal="right" vertical="center"/>
    </xf>
    <xf numFmtId="168" fontId="67" fillId="0" borderId="0" xfId="94" applyFont="1" applyAlignment="1">
      <alignment horizontal="left" vertical="center"/>
    </xf>
    <xf numFmtId="168" fontId="67" fillId="0" borderId="0" xfId="94" applyFont="1" applyAlignment="1">
      <alignment horizontal="centerContinuous" vertical="center"/>
    </xf>
    <xf numFmtId="168" fontId="67" fillId="0" borderId="0" xfId="94" applyFont="1" applyAlignment="1">
      <alignment horizontal="center" vertical="center"/>
    </xf>
    <xf numFmtId="166" fontId="13" fillId="0" borderId="23" xfId="94" applyNumberFormat="1" applyFont="1" applyBorder="1" applyAlignment="1">
      <alignment vertical="center"/>
    </xf>
    <xf numFmtId="166" fontId="13" fillId="0" borderId="25" xfId="94" applyNumberFormat="1" applyFont="1" applyBorder="1" applyAlignment="1">
      <alignment vertical="center"/>
    </xf>
    <xf numFmtId="166" fontId="27" fillId="0" borderId="33" xfId="94" applyNumberFormat="1" applyFont="1" applyBorder="1" applyAlignment="1">
      <alignment horizontal="centerContinuous" vertical="center"/>
    </xf>
    <xf numFmtId="0" fontId="1" fillId="0" borderId="0" xfId="0" quotePrefix="1" applyFont="1"/>
    <xf numFmtId="0" fontId="68" fillId="0" borderId="0" xfId="0" applyFont="1"/>
    <xf numFmtId="164" fontId="1" fillId="0" borderId="0" xfId="94" applyNumberFormat="1" applyFont="1" applyAlignment="1" applyProtection="1">
      <alignment horizontal="left" vertical="center"/>
      <protection hidden="1"/>
    </xf>
    <xf numFmtId="0" fontId="13" fillId="0" borderId="0" xfId="0" quotePrefix="1" applyFont="1"/>
    <xf numFmtId="1" fontId="13" fillId="0" borderId="0" xfId="94" applyNumberFormat="1" applyFont="1" applyAlignment="1">
      <alignment horizontal="left" vertical="center"/>
    </xf>
    <xf numFmtId="164" fontId="27" fillId="0" borderId="24" xfId="94" applyNumberFormat="1" applyFont="1" applyBorder="1" applyAlignment="1">
      <alignment vertical="center"/>
    </xf>
    <xf numFmtId="0" fontId="27" fillId="0" borderId="0" xfId="94" applyNumberFormat="1" applyFont="1" applyAlignment="1">
      <alignment vertical="center"/>
    </xf>
    <xf numFmtId="0" fontId="27" fillId="0" borderId="19" xfId="94" applyNumberFormat="1" applyFont="1" applyBorder="1" applyAlignment="1">
      <alignment vertical="center"/>
    </xf>
    <xf numFmtId="0" fontId="27" fillId="0" borderId="19" xfId="94" applyNumberFormat="1" applyFont="1" applyBorder="1" applyAlignment="1">
      <alignment horizontal="center" vertical="center"/>
    </xf>
    <xf numFmtId="1" fontId="27" fillId="0" borderId="19" xfId="94" applyNumberFormat="1" applyFont="1" applyBorder="1" applyAlignment="1">
      <alignment horizontal="center"/>
    </xf>
    <xf numFmtId="168" fontId="27" fillId="0" borderId="19" xfId="94" applyFont="1" applyBorder="1" applyAlignment="1">
      <alignment horizontal="center" vertical="center"/>
    </xf>
    <xf numFmtId="167" fontId="27" fillId="0" borderId="19" xfId="94" applyNumberFormat="1" applyFont="1" applyBorder="1" applyAlignment="1">
      <alignment vertical="center"/>
    </xf>
    <xf numFmtId="170" fontId="27" fillId="0" borderId="19" xfId="94" applyNumberFormat="1" applyFont="1" applyBorder="1" applyAlignment="1">
      <alignment vertical="center"/>
    </xf>
    <xf numFmtId="164" fontId="27" fillId="0" borderId="24" xfId="94" applyNumberFormat="1" applyFont="1" applyBorder="1" applyAlignment="1">
      <alignment horizontal="center" vertical="center"/>
    </xf>
    <xf numFmtId="164" fontId="13" fillId="25" borderId="31" xfId="94" applyNumberFormat="1" applyFont="1" applyFill="1" applyBorder="1" applyProtection="1">
      <protection locked="0"/>
    </xf>
    <xf numFmtId="168" fontId="27" fillId="0" borderId="21" xfId="94" applyFont="1" applyBorder="1" applyAlignment="1">
      <alignment horizontal="center" vertical="center"/>
    </xf>
    <xf numFmtId="165" fontId="13" fillId="0" borderId="70" xfId="94" applyNumberFormat="1" applyFont="1" applyBorder="1" applyAlignment="1">
      <alignment vertical="center"/>
    </xf>
    <xf numFmtId="165" fontId="13" fillId="0" borderId="71" xfId="94" applyNumberFormat="1" applyFont="1" applyBorder="1" applyAlignment="1">
      <alignment vertical="center"/>
    </xf>
    <xf numFmtId="168" fontId="13" fillId="29" borderId="22" xfId="94" applyFont="1" applyFill="1" applyBorder="1" applyAlignment="1">
      <alignment vertical="center"/>
    </xf>
    <xf numFmtId="168" fontId="13" fillId="29" borderId="37" xfId="94" applyFont="1" applyFill="1" applyBorder="1" applyAlignment="1">
      <alignment vertical="center"/>
    </xf>
    <xf numFmtId="168" fontId="13" fillId="29" borderId="24" xfId="94" applyFont="1" applyFill="1" applyBorder="1" applyAlignment="1">
      <alignment vertical="center"/>
    </xf>
    <xf numFmtId="168" fontId="13" fillId="29" borderId="20" xfId="94" applyFont="1" applyFill="1" applyBorder="1" applyAlignment="1">
      <alignment vertical="center"/>
    </xf>
    <xf numFmtId="168" fontId="13" fillId="29" borderId="26" xfId="94" applyFont="1" applyFill="1" applyBorder="1" applyAlignment="1">
      <alignment vertical="center"/>
    </xf>
    <xf numFmtId="168" fontId="27" fillId="0" borderId="22" xfId="94" applyFont="1" applyBorder="1" applyAlignment="1">
      <alignment horizontal="centerContinuous" vertical="center"/>
    </xf>
    <xf numFmtId="169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35" xfId="94" applyNumberFormat="1" applyFont="1" applyFill="1" applyBorder="1" applyAlignment="1">
      <alignment horizontal="centerContinuous" vertical="center"/>
    </xf>
    <xf numFmtId="169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14" xfId="94" applyNumberFormat="1" applyFont="1" applyFill="1" applyBorder="1" applyAlignment="1">
      <alignment horizontal="centerContinuous" vertical="center"/>
    </xf>
    <xf numFmtId="168" fontId="27" fillId="0" borderId="26" xfId="94" applyFont="1" applyBorder="1" applyAlignment="1">
      <alignment horizontal="centerContinuous" vertical="center"/>
    </xf>
    <xf numFmtId="168" fontId="13" fillId="0" borderId="26" xfId="94" applyFont="1" applyBorder="1" applyAlignment="1">
      <alignment horizontal="centerContinuous" vertical="center"/>
    </xf>
    <xf numFmtId="175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14" xfId="94" applyNumberFormat="1" applyFont="1" applyFill="1" applyBorder="1" applyAlignment="1">
      <alignment horizontal="centerContinuous" vertical="center"/>
    </xf>
    <xf numFmtId="175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0" xfId="94" applyNumberFormat="1" applyFont="1" applyFill="1" applyBorder="1" applyAlignment="1">
      <alignment horizontal="centerContinuous" vertical="center"/>
    </xf>
    <xf numFmtId="165" fontId="13" fillId="0" borderId="22" xfId="94" applyNumberFormat="1" applyFont="1" applyBorder="1" applyAlignment="1">
      <alignment horizontal="centerContinuous" vertical="center"/>
    </xf>
    <xf numFmtId="165" fontId="13" fillId="0" borderId="37" xfId="94" applyNumberFormat="1" applyFont="1" applyBorder="1" applyAlignment="1">
      <alignment horizontal="centerContinuous" vertical="center"/>
    </xf>
    <xf numFmtId="165" fontId="32" fillId="0" borderId="0" xfId="94" applyNumberFormat="1" applyFont="1" applyAlignment="1">
      <alignment vertical="center"/>
    </xf>
    <xf numFmtId="165" fontId="13" fillId="0" borderId="24" xfId="94" applyNumberFormat="1" applyFont="1" applyBorder="1" applyAlignment="1">
      <alignment horizontal="centerContinuous" vertical="center"/>
    </xf>
    <xf numFmtId="165" fontId="13" fillId="0" borderId="20" xfId="94" applyNumberFormat="1" applyFont="1" applyBorder="1" applyAlignment="1">
      <alignment horizontal="centerContinuous" vertical="center"/>
    </xf>
    <xf numFmtId="168" fontId="13" fillId="0" borderId="24" xfId="94" applyFont="1" applyBorder="1" applyAlignment="1">
      <alignment horizontal="centerContinuous" vertical="center"/>
    </xf>
    <xf numFmtId="168" fontId="13" fillId="0" borderId="20" xfId="94" applyFont="1" applyBorder="1" applyAlignment="1">
      <alignment horizontal="centerContinuous" vertical="center"/>
    </xf>
    <xf numFmtId="178" fontId="13" fillId="0" borderId="15" xfId="94" applyNumberFormat="1" applyFont="1" applyBorder="1" applyAlignment="1">
      <alignment vertical="center"/>
    </xf>
    <xf numFmtId="178" fontId="13" fillId="0" borderId="31" xfId="94" applyNumberFormat="1" applyFont="1" applyBorder="1" applyAlignment="1">
      <alignment vertical="center"/>
    </xf>
    <xf numFmtId="179" fontId="13" fillId="0" borderId="15" xfId="94" applyNumberFormat="1" applyFont="1" applyBorder="1" applyAlignment="1">
      <alignment vertical="center"/>
    </xf>
    <xf numFmtId="179" fontId="13" fillId="0" borderId="31" xfId="94" applyNumberFormat="1" applyFont="1" applyBorder="1" applyAlignment="1">
      <alignment vertical="center"/>
    </xf>
    <xf numFmtId="180" fontId="13" fillId="0" borderId="15" xfId="94" applyNumberFormat="1" applyFont="1" applyBorder="1" applyAlignment="1">
      <alignment vertical="center"/>
    </xf>
    <xf numFmtId="181" fontId="27" fillId="0" borderId="25" xfId="94" applyNumberFormat="1" applyFont="1" applyBorder="1" applyAlignment="1">
      <alignment horizontal="center" vertical="center"/>
    </xf>
    <xf numFmtId="182" fontId="13" fillId="0" borderId="15" xfId="94" applyNumberFormat="1" applyFont="1" applyBorder="1" applyAlignment="1">
      <alignment vertical="center"/>
    </xf>
    <xf numFmtId="182" fontId="13" fillId="0" borderId="31" xfId="94" applyNumberFormat="1" applyFont="1" applyBorder="1" applyAlignment="1">
      <alignment vertical="center"/>
    </xf>
    <xf numFmtId="180" fontId="13" fillId="0" borderId="27" xfId="94" applyNumberFormat="1" applyFont="1" applyBorder="1" applyAlignment="1">
      <alignment vertical="center"/>
    </xf>
    <xf numFmtId="180" fontId="13" fillId="0" borderId="16" xfId="94" applyNumberFormat="1" applyFont="1" applyBorder="1" applyAlignment="1">
      <alignment vertical="center"/>
    </xf>
    <xf numFmtId="180" fontId="13" fillId="0" borderId="31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right" vertical="center"/>
    </xf>
    <xf numFmtId="180" fontId="13" fillId="0" borderId="14" xfId="94" applyNumberFormat="1" applyFont="1" applyBorder="1" applyAlignment="1">
      <alignment vertical="center"/>
    </xf>
    <xf numFmtId="180" fontId="13" fillId="0" borderId="35" xfId="94" applyNumberFormat="1" applyFont="1" applyBorder="1" applyAlignment="1">
      <alignment vertical="center"/>
    </xf>
    <xf numFmtId="180" fontId="13" fillId="0" borderId="30" xfId="94" applyNumberFormat="1" applyFont="1" applyBorder="1" applyAlignment="1">
      <alignment vertical="center"/>
    </xf>
    <xf numFmtId="183" fontId="13" fillId="0" borderId="17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vertical="center"/>
    </xf>
    <xf numFmtId="180" fontId="13" fillId="0" borderId="21" xfId="94" applyNumberFormat="1" applyFont="1" applyBorder="1" applyAlignment="1">
      <alignment vertical="center"/>
    </xf>
    <xf numFmtId="180" fontId="13" fillId="0" borderId="23" xfId="94" applyNumberFormat="1" applyFont="1" applyBorder="1" applyAlignment="1">
      <alignment vertical="center"/>
    </xf>
    <xf numFmtId="180" fontId="13" fillId="0" borderId="29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center" vertical="center"/>
    </xf>
    <xf numFmtId="180" fontId="13" fillId="0" borderId="25" xfId="94" applyNumberFormat="1" applyFont="1" applyBorder="1" applyAlignment="1">
      <alignment vertical="center"/>
    </xf>
    <xf numFmtId="180" fontId="13" fillId="0" borderId="20" xfId="94" applyNumberFormat="1" applyFont="1" applyBorder="1" applyAlignment="1">
      <alignment vertical="center"/>
    </xf>
    <xf numFmtId="180" fontId="13" fillId="0" borderId="72" xfId="94" applyNumberFormat="1" applyFont="1" applyBorder="1" applyAlignment="1">
      <alignment vertical="center"/>
    </xf>
    <xf numFmtId="1" fontId="47" fillId="0" borderId="0" xfId="94" applyNumberFormat="1" applyFont="1" applyAlignment="1">
      <alignment horizontal="left" vertical="center"/>
    </xf>
    <xf numFmtId="168" fontId="47" fillId="0" borderId="0" xfId="94" applyFont="1" applyAlignment="1">
      <alignment vertical="center"/>
    </xf>
    <xf numFmtId="168" fontId="50" fillId="29" borderId="23" xfId="94" applyFont="1" applyFill="1" applyBorder="1" applyAlignment="1">
      <alignment vertical="center"/>
    </xf>
    <xf numFmtId="168" fontId="50" fillId="29" borderId="25" xfId="94" applyFont="1" applyFill="1" applyBorder="1" applyAlignment="1">
      <alignment vertical="center"/>
    </xf>
    <xf numFmtId="0" fontId="51" fillId="0" borderId="0" xfId="0" applyFont="1" applyAlignment="1">
      <alignment vertical="center"/>
    </xf>
    <xf numFmtId="1" fontId="73" fillId="0" borderId="0" xfId="94" applyNumberFormat="1" applyFont="1" applyAlignment="1">
      <alignment vertical="center"/>
    </xf>
    <xf numFmtId="164" fontId="13" fillId="0" borderId="59" xfId="94" applyNumberFormat="1" applyFont="1" applyBorder="1" applyAlignment="1">
      <alignment horizontal="left" vertical="center"/>
    </xf>
    <xf numFmtId="169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59" xfId="94" applyNumberFormat="1" applyFont="1" applyFill="1" applyBorder="1" applyAlignment="1">
      <alignment horizontal="centerContinuous" vertical="center"/>
    </xf>
    <xf numFmtId="1" fontId="75" fillId="0" borderId="0" xfId="94" applyNumberFormat="1" applyFont="1" applyAlignment="1">
      <alignment vertical="center"/>
    </xf>
    <xf numFmtId="168" fontId="73" fillId="0" borderId="0" xfId="94" applyFont="1" applyAlignment="1">
      <alignment vertical="center"/>
    </xf>
    <xf numFmtId="2" fontId="73" fillId="0" borderId="0" xfId="94" applyNumberFormat="1" applyFont="1" applyAlignment="1">
      <alignment vertical="center"/>
    </xf>
    <xf numFmtId="167" fontId="13" fillId="26" borderId="23" xfId="0" applyNumberFormat="1" applyFont="1" applyFill="1" applyBorder="1" applyAlignment="1">
      <alignment horizontal="center" vertical="center"/>
    </xf>
    <xf numFmtId="175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5" xfId="94" applyNumberFormat="1" applyFont="1" applyFill="1" applyBorder="1" applyAlignment="1">
      <alignment horizontal="centerContinuous" vertical="center"/>
    </xf>
    <xf numFmtId="169" fontId="13" fillId="26" borderId="14" xfId="94" applyNumberFormat="1" applyFont="1" applyFill="1" applyBorder="1" applyAlignment="1">
      <alignment vertical="center"/>
    </xf>
    <xf numFmtId="2" fontId="13" fillId="26" borderId="23" xfId="94" applyNumberFormat="1" applyFont="1" applyFill="1" applyBorder="1" applyAlignment="1">
      <alignment horizontal="center"/>
    </xf>
    <xf numFmtId="168" fontId="13" fillId="27" borderId="21" xfId="94" applyFont="1" applyFill="1" applyBorder="1" applyAlignment="1">
      <alignment horizontal="center" vertical="center"/>
    </xf>
    <xf numFmtId="168" fontId="13" fillId="27" borderId="23" xfId="0" applyNumberFormat="1" applyFont="1" applyFill="1" applyBorder="1" applyAlignment="1">
      <alignment horizontal="center" vertical="center"/>
    </xf>
    <xf numFmtId="165" fontId="13" fillId="0" borderId="27" xfId="94" applyNumberFormat="1" applyFont="1" applyBorder="1" applyAlignment="1">
      <alignment horizontal="center" vertical="center"/>
    </xf>
    <xf numFmtId="175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28" xfId="94" applyNumberFormat="1" applyFont="1" applyFill="1" applyBorder="1" applyAlignment="1">
      <alignment horizontal="centerContinuous" vertical="center"/>
    </xf>
    <xf numFmtId="180" fontId="13" fillId="0" borderId="0" xfId="94" applyNumberFormat="1" applyFont="1" applyAlignment="1">
      <alignment vertical="center"/>
    </xf>
    <xf numFmtId="165" fontId="76" fillId="0" borderId="26" xfId="94" quotePrefix="1" applyNumberFormat="1" applyFont="1" applyBorder="1" applyAlignment="1">
      <alignment horizontal="centerContinuous" vertical="center"/>
    </xf>
    <xf numFmtId="164" fontId="76" fillId="0" borderId="26" xfId="94" quotePrefix="1" applyNumberFormat="1" applyFont="1" applyBorder="1" applyAlignment="1">
      <alignment horizontal="centerContinuous" vertical="center"/>
    </xf>
    <xf numFmtId="168" fontId="76" fillId="0" borderId="38" xfId="94" applyFont="1" applyBorder="1" applyAlignment="1">
      <alignment horizontal="centerContinuous" vertical="center"/>
    </xf>
    <xf numFmtId="168" fontId="77" fillId="0" borderId="38" xfId="94" applyFont="1" applyBorder="1" applyAlignment="1">
      <alignment horizontal="centerContinuous" vertical="center"/>
    </xf>
    <xf numFmtId="164" fontId="76" fillId="0" borderId="39" xfId="94" quotePrefix="1" applyNumberFormat="1" applyFont="1" applyBorder="1" applyAlignment="1">
      <alignment horizontal="centerContinuous" vertical="center"/>
    </xf>
    <xf numFmtId="168" fontId="77" fillId="0" borderId="48" xfId="94" applyFont="1" applyBorder="1" applyAlignment="1">
      <alignment horizontal="centerContinuous" vertical="center"/>
    </xf>
    <xf numFmtId="168" fontId="54" fillId="30" borderId="0" xfId="94" applyFont="1" applyFill="1" applyAlignment="1">
      <alignment vertical="center"/>
    </xf>
    <xf numFmtId="168" fontId="54" fillId="30" borderId="0" xfId="94" applyFont="1" applyFill="1" applyAlignment="1">
      <alignment horizontal="left" vertical="center"/>
    </xf>
    <xf numFmtId="1" fontId="54" fillId="0" borderId="0" xfId="94" applyNumberFormat="1" applyFont="1" applyAlignment="1">
      <alignment vertical="center"/>
    </xf>
    <xf numFmtId="0" fontId="54" fillId="30" borderId="4" xfId="0" applyFont="1" applyFill="1" applyBorder="1"/>
    <xf numFmtId="1" fontId="54" fillId="30" borderId="0" xfId="94" applyNumberFormat="1" applyFont="1" applyFill="1" applyAlignment="1">
      <alignment vertical="center"/>
    </xf>
    <xf numFmtId="164" fontId="33" fillId="0" borderId="34" xfId="94" applyNumberFormat="1" applyFont="1" applyBorder="1" applyAlignment="1">
      <alignment horizontal="left" vertical="center"/>
    </xf>
    <xf numFmtId="1" fontId="74" fillId="0" borderId="0" xfId="94" applyNumberFormat="1" applyFont="1" applyAlignment="1">
      <alignment horizontal="left" vertical="center"/>
    </xf>
    <xf numFmtId="168" fontId="13" fillId="0" borderId="60" xfId="94" applyFont="1" applyBorder="1" applyAlignment="1">
      <alignment vertical="center"/>
    </xf>
    <xf numFmtId="164" fontId="27" fillId="0" borderId="38" xfId="94" applyNumberFormat="1" applyFont="1" applyBorder="1" applyAlignment="1">
      <alignment horizontal="centerContinuous" vertical="center"/>
    </xf>
    <xf numFmtId="164" fontId="76" fillId="0" borderId="48" xfId="94" quotePrefix="1" applyNumberFormat="1" applyFont="1" applyBorder="1" applyAlignment="1">
      <alignment horizontal="centerContinuous" vertical="center"/>
    </xf>
    <xf numFmtId="164" fontId="76" fillId="0" borderId="19" xfId="94" quotePrefix="1" applyNumberFormat="1" applyFont="1" applyBorder="1" applyAlignment="1">
      <alignment horizontal="centerContinuous" vertical="center"/>
    </xf>
    <xf numFmtId="168" fontId="77" fillId="0" borderId="19" xfId="94" applyFont="1" applyBorder="1" applyAlignment="1">
      <alignment horizontal="centerContinuous" vertical="center"/>
    </xf>
    <xf numFmtId="1" fontId="13" fillId="31" borderId="21" xfId="94" applyNumberFormat="1" applyFont="1" applyFill="1" applyBorder="1" applyAlignment="1">
      <alignment vertical="center"/>
    </xf>
    <xf numFmtId="1" fontId="13" fillId="31" borderId="23" xfId="94" applyNumberFormat="1" applyFont="1" applyFill="1" applyBorder="1" applyAlignment="1">
      <alignment vertical="center"/>
    </xf>
    <xf numFmtId="168" fontId="54" fillId="26" borderId="0" xfId="94" applyFont="1" applyFill="1" applyAlignment="1">
      <alignment vertical="center"/>
    </xf>
    <xf numFmtId="1" fontId="78" fillId="0" borderId="0" xfId="94" applyNumberFormat="1" applyFont="1" applyAlignment="1">
      <alignment vertical="center"/>
    </xf>
    <xf numFmtId="0" fontId="13" fillId="0" borderId="46" xfId="94" applyNumberFormat="1" applyFont="1" applyBorder="1" applyAlignment="1">
      <alignment vertical="center"/>
    </xf>
    <xf numFmtId="167" fontId="27" fillId="0" borderId="0" xfId="94" applyNumberFormat="1" applyFont="1" applyAlignment="1">
      <alignment vertical="center"/>
    </xf>
    <xf numFmtId="168" fontId="13" fillId="25" borderId="0" xfId="94" applyFont="1" applyFill="1" applyAlignment="1">
      <alignment vertical="center"/>
    </xf>
    <xf numFmtId="2" fontId="13" fillId="0" borderId="0" xfId="94" applyNumberFormat="1" applyFont="1" applyAlignment="1">
      <alignment horizontal="right" vertical="center"/>
    </xf>
    <xf numFmtId="1" fontId="27" fillId="0" borderId="0" xfId="94" applyNumberFormat="1" applyFont="1" applyAlignment="1">
      <alignment horizontal="right" vertical="center"/>
    </xf>
    <xf numFmtId="3" fontId="27" fillId="0" borderId="0" xfId="94" applyNumberFormat="1" applyFont="1" applyAlignment="1">
      <alignment horizontal="right" vertical="center"/>
    </xf>
    <xf numFmtId="164" fontId="27" fillId="0" borderId="25" xfId="94" applyNumberFormat="1" applyFont="1" applyBorder="1" applyAlignment="1">
      <alignment horizontal="centerContinuous" vertical="center"/>
    </xf>
    <xf numFmtId="179" fontId="13" fillId="0" borderId="40" xfId="94" applyNumberFormat="1" applyFont="1" applyBorder="1" applyAlignment="1">
      <alignment vertical="center"/>
    </xf>
    <xf numFmtId="179" fontId="13" fillId="0" borderId="60" xfId="94" applyNumberFormat="1" applyFont="1" applyBorder="1" applyAlignment="1">
      <alignment vertical="center"/>
    </xf>
    <xf numFmtId="179" fontId="13" fillId="0" borderId="59" xfId="94" applyNumberFormat="1" applyFont="1" applyBorder="1" applyAlignment="1">
      <alignment vertical="center"/>
    </xf>
    <xf numFmtId="179" fontId="13" fillId="0" borderId="30" xfId="94" applyNumberFormat="1" applyFont="1" applyBorder="1" applyAlignment="1">
      <alignment vertical="center"/>
    </xf>
    <xf numFmtId="170" fontId="27" fillId="0" borderId="36" xfId="94" applyNumberFormat="1" applyFont="1" applyBorder="1" applyAlignment="1">
      <alignment vertical="center"/>
    </xf>
    <xf numFmtId="179" fontId="13" fillId="0" borderId="42" xfId="94" applyNumberFormat="1" applyFont="1" applyBorder="1" applyAlignment="1">
      <alignment vertical="center"/>
    </xf>
    <xf numFmtId="0" fontId="13" fillId="0" borderId="41" xfId="94" applyNumberFormat="1" applyFont="1" applyBorder="1" applyAlignment="1">
      <alignment vertical="center"/>
    </xf>
    <xf numFmtId="164" fontId="27" fillId="0" borderId="26" xfId="94" applyNumberFormat="1" applyFont="1" applyBorder="1" applyAlignment="1">
      <alignment vertical="center"/>
    </xf>
    <xf numFmtId="164" fontId="27" fillId="0" borderId="46" xfId="94" applyNumberFormat="1" applyFont="1" applyBorder="1" applyAlignment="1">
      <alignment horizontal="center" vertical="center"/>
    </xf>
    <xf numFmtId="0" fontId="0" fillId="32" borderId="0" xfId="0" applyFill="1"/>
    <xf numFmtId="0" fontId="13" fillId="32" borderId="0" xfId="0" applyFont="1" applyFill="1" applyAlignment="1">
      <alignment vertical="center"/>
    </xf>
    <xf numFmtId="0" fontId="13" fillId="33" borderId="0" xfId="0" applyFont="1" applyFill="1"/>
    <xf numFmtId="0" fontId="13" fillId="33" borderId="0" xfId="0" applyFont="1" applyFill="1" applyAlignment="1">
      <alignment vertical="center"/>
    </xf>
    <xf numFmtId="0" fontId="0" fillId="33" borderId="0" xfId="0" applyFill="1"/>
    <xf numFmtId="168" fontId="54" fillId="0" borderId="0" xfId="94" applyFont="1"/>
    <xf numFmtId="1" fontId="54" fillId="26" borderId="0" xfId="94" applyNumberFormat="1" applyFont="1" applyFill="1" applyAlignment="1">
      <alignment horizontal="right" vertical="center"/>
    </xf>
    <xf numFmtId="1" fontId="54" fillId="0" borderId="0" xfId="94" applyNumberFormat="1" applyFont="1" applyAlignment="1">
      <alignment horizontal="right" vertical="center"/>
    </xf>
    <xf numFmtId="166" fontId="13" fillId="25" borderId="16" xfId="94" applyNumberFormat="1" applyFont="1" applyFill="1" applyBorder="1" applyAlignment="1" applyProtection="1">
      <alignment vertical="center"/>
      <protection locked="0"/>
    </xf>
    <xf numFmtId="166" fontId="13" fillId="25" borderId="31" xfId="94" applyNumberFormat="1" applyFont="1" applyFill="1" applyBorder="1" applyAlignment="1" applyProtection="1">
      <alignment vertical="center"/>
      <protection locked="0"/>
    </xf>
    <xf numFmtId="166" fontId="13" fillId="25" borderId="28" xfId="94" applyNumberFormat="1" applyFont="1" applyFill="1" applyBorder="1" applyAlignment="1" applyProtection="1">
      <alignment vertical="center"/>
      <protection locked="0"/>
    </xf>
    <xf numFmtId="169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>
      <alignment horizontal="center" vertical="center"/>
    </xf>
    <xf numFmtId="0" fontId="13" fillId="0" borderId="29" xfId="94" applyNumberFormat="1" applyFont="1" applyBorder="1" applyAlignment="1">
      <alignment horizontal="left" vertical="center"/>
    </xf>
    <xf numFmtId="0" fontId="13" fillId="0" borderId="15" xfId="94" applyNumberFormat="1" applyFont="1" applyBorder="1" applyAlignment="1">
      <alignment horizontal="left" vertical="center"/>
    </xf>
    <xf numFmtId="168" fontId="54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left" vertical="center"/>
    </xf>
    <xf numFmtId="1" fontId="81" fillId="0" borderId="0" xfId="94" applyNumberFormat="1" applyFont="1" applyAlignment="1">
      <alignment horizontal="left" vertical="center"/>
    </xf>
    <xf numFmtId="1" fontId="13" fillId="0" borderId="73" xfId="94" applyNumberFormat="1" applyFont="1" applyBorder="1" applyAlignment="1">
      <alignment horizontal="left" vertical="center"/>
    </xf>
    <xf numFmtId="168" fontId="82" fillId="0" borderId="0" xfId="94" applyFont="1" applyAlignment="1">
      <alignment vertical="center"/>
    </xf>
    <xf numFmtId="168" fontId="82" fillId="0" borderId="0" xfId="94" applyFont="1"/>
    <xf numFmtId="0" fontId="13" fillId="0" borderId="42" xfId="94" applyNumberFormat="1" applyFont="1" applyBorder="1" applyAlignment="1">
      <alignment vertical="center"/>
    </xf>
    <xf numFmtId="0" fontId="0" fillId="34" borderId="0" xfId="0" applyFill="1"/>
    <xf numFmtId="0" fontId="13" fillId="34" borderId="0" xfId="0" applyFont="1" applyFill="1" applyAlignment="1">
      <alignment vertical="center"/>
    </xf>
    <xf numFmtId="0" fontId="13" fillId="34" borderId="0" xfId="0" applyFont="1" applyFill="1"/>
    <xf numFmtId="1" fontId="83" fillId="0" borderId="0" xfId="94" applyNumberFormat="1" applyFont="1" applyAlignment="1">
      <alignment vertical="center"/>
    </xf>
    <xf numFmtId="1" fontId="54" fillId="26" borderId="0" xfId="94" applyNumberFormat="1" applyFont="1" applyFill="1" applyAlignment="1">
      <alignment vertical="center"/>
    </xf>
    <xf numFmtId="165" fontId="13" fillId="28" borderId="17" xfId="94" applyNumberFormat="1" applyFont="1" applyFill="1" applyBorder="1" applyAlignment="1" applyProtection="1">
      <alignment horizontal="center" vertical="center"/>
      <protection locked="0"/>
    </xf>
    <xf numFmtId="170" fontId="82" fillId="0" borderId="0" xfId="94" applyNumberFormat="1" applyFont="1" applyAlignment="1">
      <alignment vertical="center"/>
    </xf>
    <xf numFmtId="1" fontId="82" fillId="26" borderId="0" xfId="94" applyNumberFormat="1" applyFont="1" applyFill="1" applyAlignment="1">
      <alignment horizontal="right" vertical="center"/>
    </xf>
    <xf numFmtId="1" fontId="82" fillId="26" borderId="0" xfId="94" applyNumberFormat="1" applyFont="1" applyFill="1" applyAlignment="1">
      <alignment vertical="center"/>
    </xf>
    <xf numFmtId="1" fontId="84" fillId="26" borderId="0" xfId="94" applyNumberFormat="1" applyFont="1" applyFill="1" applyAlignment="1">
      <alignment horizontal="right" vertical="center"/>
    </xf>
    <xf numFmtId="1" fontId="84" fillId="0" borderId="0" xfId="94" applyNumberFormat="1" applyFont="1" applyAlignment="1">
      <alignment horizontal="center" vertical="center"/>
    </xf>
    <xf numFmtId="168" fontId="84" fillId="0" borderId="0" xfId="94" applyFont="1" applyAlignment="1">
      <alignment horizontal="right" vertical="center"/>
    </xf>
    <xf numFmtId="168" fontId="82" fillId="0" borderId="74" xfId="94" applyFont="1" applyBorder="1" applyAlignment="1">
      <alignment vertical="center"/>
    </xf>
    <xf numFmtId="1" fontId="82" fillId="0" borderId="74" xfId="94" applyNumberFormat="1" applyFont="1" applyBorder="1" applyAlignment="1">
      <alignment horizontal="left" vertical="center"/>
    </xf>
    <xf numFmtId="165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vertical="center"/>
    </xf>
    <xf numFmtId="168" fontId="82" fillId="0" borderId="75" xfId="94" applyFont="1" applyBorder="1" applyAlignment="1">
      <alignment horizontal="right" vertical="center"/>
    </xf>
    <xf numFmtId="1" fontId="82" fillId="0" borderId="76" xfId="94" applyNumberFormat="1" applyFont="1" applyBorder="1" applyAlignment="1">
      <alignment horizontal="left" vertical="center"/>
    </xf>
    <xf numFmtId="1" fontId="82" fillId="26" borderId="77" xfId="94" applyNumberFormat="1" applyFont="1" applyFill="1" applyBorder="1" applyAlignment="1">
      <alignment horizontal="left" vertical="center"/>
    </xf>
    <xf numFmtId="168" fontId="82" fillId="0" borderId="77" xfId="94" applyFont="1" applyBorder="1" applyAlignment="1">
      <alignment horizontal="left" vertical="center"/>
    </xf>
    <xf numFmtId="1" fontId="82" fillId="0" borderId="0" xfId="94" applyNumberFormat="1" applyFont="1" applyAlignment="1">
      <alignment horizontal="right" vertical="center"/>
    </xf>
    <xf numFmtId="1" fontId="82" fillId="0" borderId="74" xfId="94" applyNumberFormat="1" applyFont="1" applyBorder="1" applyAlignment="1">
      <alignment vertical="center"/>
    </xf>
    <xf numFmtId="1" fontId="82" fillId="0" borderId="75" xfId="94" applyNumberFormat="1" applyFont="1" applyBorder="1" applyAlignment="1">
      <alignment horizontal="right" vertical="center"/>
    </xf>
    <xf numFmtId="1" fontId="82" fillId="0" borderId="78" xfId="94" applyNumberFormat="1" applyFont="1" applyBorder="1" applyAlignment="1">
      <alignment vertical="center"/>
    </xf>
    <xf numFmtId="1" fontId="82" fillId="0" borderId="79" xfId="94" applyNumberFormat="1" applyFont="1" applyBorder="1" applyAlignment="1">
      <alignment horizontal="right" vertical="center"/>
    </xf>
    <xf numFmtId="1" fontId="82" fillId="0" borderId="80" xfId="94" applyNumberFormat="1" applyFont="1" applyBorder="1" applyAlignment="1">
      <alignment vertical="center"/>
    </xf>
    <xf numFmtId="165" fontId="82" fillId="0" borderId="80" xfId="94" applyNumberFormat="1" applyFont="1" applyBorder="1" applyAlignment="1">
      <alignment horizontal="left" vertical="center"/>
    </xf>
    <xf numFmtId="1" fontId="82" fillId="0" borderId="80" xfId="94" applyNumberFormat="1" applyFont="1" applyBorder="1" applyAlignment="1">
      <alignment horizontal="left" vertical="center"/>
    </xf>
    <xf numFmtId="49" fontId="36" fillId="26" borderId="0" xfId="94" applyNumberFormat="1" applyFont="1" applyFill="1" applyAlignment="1">
      <alignment vertical="center"/>
    </xf>
    <xf numFmtId="168" fontId="36" fillId="0" borderId="0" xfId="94" applyFont="1" applyAlignment="1">
      <alignment horizontal="left"/>
    </xf>
    <xf numFmtId="168" fontId="13" fillId="0" borderId="0" xfId="94" applyFont="1" applyAlignment="1">
      <alignment horizontal="left"/>
    </xf>
    <xf numFmtId="168" fontId="13" fillId="0" borderId="0" xfId="94" applyFont="1"/>
    <xf numFmtId="0" fontId="13" fillId="28" borderId="43" xfId="0" applyFont="1" applyFill="1" applyBorder="1" applyAlignment="1" applyProtection="1">
      <alignment horizontal="left"/>
      <protection locked="0"/>
    </xf>
    <xf numFmtId="174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168" fontId="27" fillId="0" borderId="22" xfId="94" applyFont="1" applyBorder="1" applyAlignment="1">
      <alignment horizontal="center"/>
    </xf>
    <xf numFmtId="168" fontId="27" fillId="0" borderId="37" xfId="94" applyFont="1" applyBorder="1" applyAlignment="1">
      <alignment horizontal="center"/>
    </xf>
    <xf numFmtId="168" fontId="27" fillId="0" borderId="24" xfId="94" applyFont="1" applyBorder="1" applyAlignment="1">
      <alignment horizontal="center"/>
    </xf>
    <xf numFmtId="16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FCB2AE2E-9A26-499B-9A2F-08B0F8BDFAB6}"/>
    <cellStyle name="20 % - Accent2" xfId="8" xr:uid="{2482B709-53A9-47E4-8DFD-4D3BC979E34C}"/>
    <cellStyle name="20 % - Accent3" xfId="9" xr:uid="{7518290A-E99C-44E2-A611-AF29FBBBE586}"/>
    <cellStyle name="20 % - Accent4" xfId="10" xr:uid="{ACF1879E-57F2-4846-BA69-EC3D2C527870}"/>
    <cellStyle name="20 % - Accent5" xfId="11" xr:uid="{6406FE94-9C2C-4EA4-958A-8BE69FE8ACE7}"/>
    <cellStyle name="20 % - Accent6" xfId="12" xr:uid="{1E593407-C267-42AD-A99E-BE3B75D25AE4}"/>
    <cellStyle name="20% - Akzent1" xfId="13" xr:uid="{F3BFE3EE-0BBD-4312-B284-20CD0F797D83}"/>
    <cellStyle name="20% - Akzent2" xfId="14" xr:uid="{E39B9CDB-02A6-4B52-8CF9-187D26C431FF}"/>
    <cellStyle name="20% - Akzent3" xfId="15" xr:uid="{FC2DCD4B-464F-48C6-96CC-4344D87FECAD}"/>
    <cellStyle name="20% - Akzent4" xfId="16" xr:uid="{00CEC478-DDE9-45FC-A6D8-945B60EF3C46}"/>
    <cellStyle name="20% - Akzent5" xfId="17" xr:uid="{1445FE67-22E0-4C5A-BA04-8007DB7C035A}"/>
    <cellStyle name="20% - Akzent6" xfId="18" xr:uid="{74CCAF12-FF07-4D52-BAC5-F08BFDCA51A4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4E216C9C-C5B3-4C77-8461-102C1149223A}"/>
    <cellStyle name="40 % - Accent2" xfId="26" xr:uid="{1D777E00-8C2B-44F0-9FF8-7BB964F8DAE0}"/>
    <cellStyle name="40 % - Accent3" xfId="27" xr:uid="{13D60494-6BE4-4299-B14A-F164AB4C98CD}"/>
    <cellStyle name="40 % - Accent4" xfId="28" xr:uid="{2B07FB9E-178B-4F7A-B0F3-1E20533DC645}"/>
    <cellStyle name="40 % - Accent5" xfId="29" xr:uid="{B02BE354-CCE8-426C-9C2B-2461C116F748}"/>
    <cellStyle name="40 % - Accent6" xfId="30" xr:uid="{2A4A9057-37C1-4A86-B968-13A999F178A2}"/>
    <cellStyle name="40% - Akzent1" xfId="31" xr:uid="{56DECA9F-B823-4F0D-BE9F-59C66B0AADD3}"/>
    <cellStyle name="40% - Akzent2" xfId="32" xr:uid="{68475F51-E6E3-4A25-B9AF-82134D5B007E}"/>
    <cellStyle name="40% - Akzent3" xfId="33" xr:uid="{CFF122BA-348E-4B5D-84A6-7036E9C90F6D}"/>
    <cellStyle name="40% - Akzent4" xfId="34" xr:uid="{F2408E21-FE4F-4FE3-97D6-94047F3B5376}"/>
    <cellStyle name="40% - Akzent5" xfId="35" xr:uid="{71735797-93F8-40CB-85B5-BE52B1C5F8C0}"/>
    <cellStyle name="40% - Akzent6" xfId="36" xr:uid="{9CF30F5F-BFD1-4C1F-B5D2-3B2FAA745BD2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B7E67E38-ACE3-4E82-B133-F5B09FD01933}"/>
    <cellStyle name="60 % - Accent2" xfId="44" xr:uid="{8DCE93FA-00A2-47B4-B5A8-629CA2D7DC5D}"/>
    <cellStyle name="60 % - Accent3" xfId="45" xr:uid="{139075CF-AD0C-4117-AC29-E1A1C09A88B3}"/>
    <cellStyle name="60 % - Accent4" xfId="46" xr:uid="{45B21F21-71F1-4F75-9D24-D96DF2CD9425}"/>
    <cellStyle name="60 % - Accent5" xfId="47" xr:uid="{394ECE13-1FFD-4767-8B37-7869FEC38435}"/>
    <cellStyle name="60 % - Accent6" xfId="48" xr:uid="{788F5E77-121A-49C3-A1AA-731E7D12FC43}"/>
    <cellStyle name="60% - Akzent1" xfId="49" xr:uid="{E7C63D49-A122-4E49-8269-E9C06D8F4DA8}"/>
    <cellStyle name="60% - Akzent2" xfId="50" xr:uid="{34C4DA55-21CE-4DC7-959E-E3BFE7A2779F}"/>
    <cellStyle name="60% - Akzent3" xfId="51" xr:uid="{23A54E8B-D5F3-485B-ACAB-2A8AEF19DC4D}"/>
    <cellStyle name="60% - Akzent4" xfId="52" xr:uid="{33B7102D-8928-48A6-A899-EAF83E686656}"/>
    <cellStyle name="60% - Akzent5" xfId="53" xr:uid="{37227F61-4764-4101-AE08-EB447AEE6A6E}"/>
    <cellStyle name="60% - Akzent6" xfId="54" xr:uid="{207E74A7-F18C-4101-8A6F-430B5EC497BC}"/>
    <cellStyle name="Accent1" xfId="55" xr:uid="{EA457A7D-22C5-470C-94A4-64E4202D11B5}"/>
    <cellStyle name="Accent2" xfId="56" xr:uid="{E5CF11FE-1A54-4D60-BD1A-87628595FF29}"/>
    <cellStyle name="Accent3" xfId="57" xr:uid="{0A68196D-1B5A-4702-934D-702C5B2CBF24}"/>
    <cellStyle name="Accent4" xfId="58" xr:uid="{6B822B43-F6D9-498E-9F0B-B4C60B2B6F91}"/>
    <cellStyle name="Accent5" xfId="59" xr:uid="{5A6CA528-A3E9-4195-BE40-54EA9380CAB9}"/>
    <cellStyle name="Accent6" xfId="60" xr:uid="{9F491E34-7753-4062-A1A1-B1BE8D23F25B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EF109EC5-296A-429C-AE7F-4502AC2D9833}"/>
    <cellStyle name="Berechnung" xfId="69" builtinId="22" customBuiltin="1"/>
    <cellStyle name="Calcul" xfId="70" xr:uid="{5C241D1E-4A7B-4515-8D2E-6E8D247B856A}"/>
    <cellStyle name="Cellule liée" xfId="71" xr:uid="{F30064FB-80F0-433A-B836-EC9B9C80D6E5}"/>
    <cellStyle name="Commentaire" xfId="72" xr:uid="{E7C7FB77-30CC-456B-AE54-BB083C0B7A8A}"/>
    <cellStyle name="dbkatalog" xfId="73" xr:uid="{C5B9D495-57B1-4C6B-9771-4E0FF10C47FB}"/>
    <cellStyle name="DB-Katalog" xfId="74" xr:uid="{34C33BC6-F023-4ADC-A0A6-63A6A8C791AD}"/>
    <cellStyle name="Eingabe" xfId="75" builtinId="20" customBuiltin="1"/>
    <cellStyle name="Entrée" xfId="76" xr:uid="{D4FCA78A-E03C-453E-A2A4-EA48E43EC675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DAC19789-DA06-49C7-98BE-6E9DB7505B44}"/>
    <cellStyle name="Lien hypertexte" xfId="81" xr:uid="{413B3BF2-3524-428E-BCD0-EA5AA17F0AA3}"/>
    <cellStyle name="Lien hypertexte visité" xfId="82" xr:uid="{1217C3D5-9902-4F9C-AA3B-D9B7960F6958}"/>
    <cellStyle name="Lien hypertexte_Texte" xfId="83" xr:uid="{C3AB2E24-9300-4ADC-8AA6-C4FE3E4D213A}"/>
    <cellStyle name="Link" xfId="84" builtinId="8"/>
    <cellStyle name="Neutral" xfId="85" builtinId="28" customBuiltin="1"/>
    <cellStyle name="Neutre" xfId="86" xr:uid="{43E4467A-5860-4876-811B-FFBEBA01DF16}"/>
    <cellStyle name="Normal 2" xfId="87" xr:uid="{B4EA5DA1-BA1F-4713-9B6C-A918D2D7830E}"/>
    <cellStyle name="Normal 3" xfId="88" xr:uid="{442E10C0-F13A-42ED-B98D-B9155F7567F4}"/>
    <cellStyle name="Normal_AAdossier03" xfId="89" xr:uid="{DA3D4C8E-DAE6-4E84-BF47-27819DD090C2}"/>
    <cellStyle name="Notiz" xfId="90" builtinId="10" customBuiltin="1"/>
    <cellStyle name="Satisfaisant" xfId="91" xr:uid="{9A4D4F56-D81F-4CEA-8ED8-5C763D465899}"/>
    <cellStyle name="Schlecht" xfId="92" builtinId="27" customBuiltin="1"/>
    <cellStyle name="Sortie" xfId="93" xr:uid="{A2458153-5E92-462E-9404-30AC19894A82}"/>
    <cellStyle name="Standard" xfId="0" builtinId="0"/>
    <cellStyle name="Standard_Suisse-Bilanz 20131" xfId="94" xr:uid="{B651E351-347D-40FA-B7D6-0BABF1D1E54C}"/>
    <cellStyle name="Texte explicatif" xfId="95" xr:uid="{A3DF0142-8BB4-43CA-A5D7-2BFDB5BFDC90}"/>
    <cellStyle name="Titre" xfId="96" xr:uid="{1FF21988-4487-49F5-B1E1-A30EA8DABE1D}"/>
    <cellStyle name="Titre 1" xfId="97" xr:uid="{C3BBEEBF-EE29-4A00-B3A0-2CA9AA9406AA}"/>
    <cellStyle name="Titre 2" xfId="98" xr:uid="{43DF0DD6-16A3-4D1D-9F18-2CA51D05D1DE}"/>
    <cellStyle name="Titre 3" xfId="99" xr:uid="{D076BF1B-FE90-4BD3-94E5-F02696E92361}"/>
    <cellStyle name="Titre 4" xfId="100" xr:uid="{726DD46C-3E23-4DAE-8337-702FD5D9AB10}"/>
    <cellStyle name="Titre_Texte" xfId="101" xr:uid="{59633C37-0748-4551-9560-4EF2DE1E149D}"/>
    <cellStyle name="Total" xfId="102" xr:uid="{21ADC287-F11A-44E7-8D46-F6CF5E2A5DFF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C905D6C5-323F-4A4B-8A5E-70A879694A28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2383" name="Logo">
          <a:extLst>
            <a:ext uri="{FF2B5EF4-FFF2-40B4-BE49-F238E27FC236}">
              <a16:creationId xmlns:a16="http://schemas.microsoft.com/office/drawing/2014/main" id="{96358524-5964-91AC-0B13-0DC27BE0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57150</xdr:rowOff>
    </xdr:from>
    <xdr:to>
      <xdr:col>22</xdr:col>
      <xdr:colOff>714375</xdr:colOff>
      <xdr:row>49</xdr:row>
      <xdr:rowOff>152400</xdr:rowOff>
    </xdr:to>
    <xdr:pic>
      <xdr:nvPicPr>
        <xdr:cNvPr id="12384" name="Grafik 1">
          <a:extLst>
            <a:ext uri="{FF2B5EF4-FFF2-40B4-BE49-F238E27FC236}">
              <a16:creationId xmlns:a16="http://schemas.microsoft.com/office/drawing/2014/main" id="{8943E161-9A87-A178-8940-D552520D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"/>
          <a:ext cx="6248400" cy="836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50</xdr:row>
      <xdr:rowOff>9525</xdr:rowOff>
    </xdr:from>
    <xdr:to>
      <xdr:col>21</xdr:col>
      <xdr:colOff>647700</xdr:colOff>
      <xdr:row>97</xdr:row>
      <xdr:rowOff>9525</xdr:rowOff>
    </xdr:to>
    <xdr:pic>
      <xdr:nvPicPr>
        <xdr:cNvPr id="12385" name="Grafik 2">
          <a:extLst>
            <a:ext uri="{FF2B5EF4-FFF2-40B4-BE49-F238E27FC236}">
              <a16:creationId xmlns:a16="http://schemas.microsoft.com/office/drawing/2014/main" id="{3CE39242-4E31-A72E-689F-F0D8D1AA0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8439150"/>
          <a:ext cx="52197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0</xdr:rowOff>
    </xdr:from>
    <xdr:to>
      <xdr:col>32</xdr:col>
      <xdr:colOff>628650</xdr:colOff>
      <xdr:row>49</xdr:row>
      <xdr:rowOff>85725</xdr:rowOff>
    </xdr:to>
    <xdr:pic>
      <xdr:nvPicPr>
        <xdr:cNvPr id="12386" name="Grafik 3">
          <a:extLst>
            <a:ext uri="{FF2B5EF4-FFF2-40B4-BE49-F238E27FC236}">
              <a16:creationId xmlns:a16="http://schemas.microsoft.com/office/drawing/2014/main" id="{A517CDFD-EB60-600B-4A4B-A081A95C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6143625" cy="835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409575</xdr:colOff>
      <xdr:row>49</xdr:row>
      <xdr:rowOff>104775</xdr:rowOff>
    </xdr:from>
    <xdr:to>
      <xdr:col>30</xdr:col>
      <xdr:colOff>438150</xdr:colOff>
      <xdr:row>96</xdr:row>
      <xdr:rowOff>28575</xdr:rowOff>
    </xdr:to>
    <xdr:pic>
      <xdr:nvPicPr>
        <xdr:cNvPr id="12387" name="Grafik 4">
          <a:extLst>
            <a:ext uri="{FF2B5EF4-FFF2-40B4-BE49-F238E27FC236}">
              <a16:creationId xmlns:a16="http://schemas.microsoft.com/office/drawing/2014/main" id="{D670E780-6A00-8BD1-643D-2672706D2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8372475"/>
          <a:ext cx="4600575" cy="753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FF666E2-AF0F-94FA-2FAB-B043D8E65696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20</xdr:col>
      <xdr:colOff>981075</xdr:colOff>
      <xdr:row>195</xdr:row>
      <xdr:rowOff>133350</xdr:rowOff>
    </xdr:to>
    <xdr:sp macro="" textlink="">
      <xdr:nvSpPr>
        <xdr:cNvPr id="11340" name="recVorhang">
          <a:extLst>
            <a:ext uri="{FF2B5EF4-FFF2-40B4-BE49-F238E27FC236}">
              <a16:creationId xmlns:a16="http://schemas.microsoft.com/office/drawing/2014/main" id="{0886BD07-387C-F220-4AD8-CF0866C66821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4238625" cy="1584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1341" name="Logo">
          <a:extLst>
            <a:ext uri="{FF2B5EF4-FFF2-40B4-BE49-F238E27FC236}">
              <a16:creationId xmlns:a16="http://schemas.microsoft.com/office/drawing/2014/main" id="{02CBF63B-8BA7-E650-D4A2-97C7E486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80" name="Logo">
          <a:extLst>
            <a:ext uri="{FF2B5EF4-FFF2-40B4-BE49-F238E27FC236}">
              <a16:creationId xmlns:a16="http://schemas.microsoft.com/office/drawing/2014/main" id="{0B031CFD-24CA-088A-CC05-99FFC382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3D27-96A3-4931-8085-66AF21146990}">
  <sheetPr codeName="Tabelle1"/>
  <dimension ref="A1:O52"/>
  <sheetViews>
    <sheetView showGridLines="0" showRowColHeaders="0" showZeros="0" zoomScaleNormal="100" workbookViewId="0"/>
  </sheetViews>
  <sheetFormatPr baseColWidth="10" defaultRowHeight="12.75"/>
  <cols>
    <col min="1" max="1" width="1.7109375" customWidth="1"/>
    <col min="2" max="2" width="22.85546875" customWidth="1"/>
    <col min="3" max="3" width="14.5703125" customWidth="1"/>
    <col min="4" max="4" width="29.28515625" customWidth="1"/>
    <col min="5" max="5" width="6.85546875" customWidth="1"/>
    <col min="6" max="6" width="4.28515625" customWidth="1"/>
    <col min="7" max="7" width="11.28515625" customWidth="1"/>
    <col min="8" max="8" width="0.85546875" customWidth="1"/>
    <col min="9" max="9" width="6.85546875" hidden="1" customWidth="1"/>
    <col min="10" max="15" width="11.42578125" hidden="1" customWidth="1"/>
    <col min="22" max="22" width="13.5703125" customWidth="1"/>
    <col min="24" max="24" width="5.7109375" customWidth="1"/>
  </cols>
  <sheetData>
    <row r="1" spans="1:15" ht="21" customHeight="1">
      <c r="G1" s="85" t="str">
        <f>Texte!A6</f>
        <v>Version: 1.11</v>
      </c>
      <c r="L1" s="360" t="s">
        <v>799</v>
      </c>
    </row>
    <row r="2" spans="1:15" ht="21" customHeight="1">
      <c r="A2" s="7"/>
      <c r="B2" s="6"/>
      <c r="C2" s="116" t="str">
        <f>Texte!A4</f>
        <v>Anleitung</v>
      </c>
      <c r="G2" s="84" t="str">
        <f>Texte!A5</f>
        <v>GMF</v>
      </c>
      <c r="H2" s="7"/>
    </row>
    <row r="3" spans="1:15" ht="7.5" customHeight="1" thickBot="1">
      <c r="A3" s="7"/>
      <c r="B3" s="8"/>
      <c r="C3" s="8"/>
      <c r="D3" s="8"/>
      <c r="E3" s="8"/>
      <c r="F3" s="8"/>
      <c r="G3" s="8"/>
      <c r="H3" s="7"/>
    </row>
    <row r="4" spans="1:15">
      <c r="A4" s="7"/>
      <c r="B4" s="7"/>
      <c r="C4" s="7"/>
      <c r="D4" s="7"/>
      <c r="E4" s="7"/>
      <c r="F4" s="7"/>
      <c r="G4" s="7"/>
      <c r="H4" s="7"/>
    </row>
    <row r="5" spans="1:15">
      <c r="A5" s="7"/>
      <c r="B5" s="7" t="s">
        <v>338</v>
      </c>
      <c r="C5" s="7"/>
      <c r="D5" s="7"/>
      <c r="E5" s="7"/>
      <c r="F5" s="7"/>
      <c r="G5" s="7"/>
      <c r="H5" s="7"/>
      <c r="I5" s="7"/>
    </row>
    <row r="6" spans="1:15" ht="12.75" customHeight="1">
      <c r="A6" s="7"/>
      <c r="B6" s="7" t="s">
        <v>340</v>
      </c>
      <c r="D6" s="9"/>
      <c r="E6" s="9"/>
      <c r="F6" s="9"/>
      <c r="G6" s="10"/>
      <c r="H6" s="11"/>
      <c r="N6" s="117" t="s">
        <v>582</v>
      </c>
      <c r="O6" s="117"/>
    </row>
    <row r="7" spans="1:15" ht="12.75" customHeight="1">
      <c r="A7" s="7"/>
      <c r="B7" s="7" t="s">
        <v>339</v>
      </c>
      <c r="D7" s="9"/>
      <c r="E7" s="9"/>
      <c r="F7" s="9"/>
      <c r="G7" s="10"/>
      <c r="H7" s="11"/>
      <c r="N7" s="117"/>
      <c r="O7" s="117"/>
    </row>
    <row r="8" spans="1:15" ht="10.5" customHeight="1">
      <c r="A8" s="7"/>
      <c r="B8" s="7"/>
      <c r="C8" s="7"/>
      <c r="D8" s="7"/>
      <c r="E8" s="7"/>
      <c r="F8" s="7"/>
      <c r="G8" s="7"/>
      <c r="H8" s="7"/>
      <c r="N8" s="117"/>
      <c r="O8" s="117"/>
    </row>
    <row r="9" spans="1:15" ht="18.75">
      <c r="A9" s="7"/>
      <c r="B9" s="61" t="str">
        <f>Texte!A9</f>
        <v>Sprache:</v>
      </c>
      <c r="C9" s="352" t="s">
        <v>579</v>
      </c>
      <c r="F9" s="7"/>
      <c r="G9" s="10"/>
      <c r="H9" s="11"/>
      <c r="N9" s="117" t="s">
        <v>579</v>
      </c>
      <c r="O9" s="117">
        <v>1</v>
      </c>
    </row>
    <row r="10" spans="1:15" ht="18.75">
      <c r="A10" s="7"/>
      <c r="B10" s="7"/>
      <c r="C10" s="7"/>
      <c r="D10" s="7"/>
      <c r="E10" s="7"/>
      <c r="F10" s="7"/>
      <c r="G10" s="10"/>
      <c r="H10" s="11"/>
      <c r="N10" s="117" t="s">
        <v>580</v>
      </c>
      <c r="O10" s="117">
        <v>2</v>
      </c>
    </row>
    <row r="11" spans="1:15" ht="15.75">
      <c r="B11" s="118" t="str">
        <f>Texte!A10</f>
        <v>Anleitung</v>
      </c>
      <c r="C11" s="118"/>
      <c r="N11" s="117" t="s">
        <v>581</v>
      </c>
      <c r="O11" s="117">
        <v>3</v>
      </c>
    </row>
    <row r="12" spans="1:15">
      <c r="B12" s="63" t="str">
        <f>Texte!A11</f>
        <v>grüne Zellen:</v>
      </c>
      <c r="C12" t="str">
        <f>Texte!A14</f>
        <v>Auswahllisten</v>
      </c>
    </row>
    <row r="13" spans="1:15">
      <c r="B13" s="64" t="str">
        <f>Texte!A12</f>
        <v>gelbe Zeilen:</v>
      </c>
      <c r="C13" t="str">
        <f>Texte!A15</f>
        <v>zur Dateneingabe</v>
      </c>
    </row>
    <row r="14" spans="1:15">
      <c r="B14" s="65" t="str">
        <f>Texte!A13</f>
        <v xml:space="preserve">weisse Zellen: </v>
      </c>
      <c r="C14" t="str">
        <f>Texte!A16</f>
        <v>gesperrte Zellen</v>
      </c>
    </row>
    <row r="16" spans="1:15" ht="15.75">
      <c r="B16" s="118" t="str">
        <f>Texte!A17</f>
        <v>Vorgehen:</v>
      </c>
      <c r="C16" s="118"/>
    </row>
    <row r="17" spans="2:7" ht="18" customHeight="1">
      <c r="B17" s="133" t="str">
        <f>Texte!A18</f>
        <v>Grundsatz: Übereinstimmung mit Suisse-Bilanz muss sein</v>
      </c>
      <c r="C17" s="119"/>
    </row>
    <row r="18" spans="2:7" ht="6.75" customHeight="1"/>
    <row r="19" spans="2:7">
      <c r="B19" s="75" t="str">
        <f>Texte!A19</f>
        <v>1. Betriebsangaben ausfüllen, insbesondere die "Gebietszuteilung"</v>
      </c>
    </row>
    <row r="20" spans="2:7">
      <c r="B20" s="75" t="str">
        <f>Texte!A20</f>
        <v>2. Teil A: Grund- und Kraftfutterverzehr</v>
      </c>
    </row>
    <row r="21" spans="2:7">
      <c r="B21" s="7" t="str">
        <f>Texte!A21</f>
        <v xml:space="preserve">    - Alle Tierarten mit Grundfutterverzehr erfassen</v>
      </c>
    </row>
    <row r="22" spans="2:7">
      <c r="B22" s="7" t="str">
        <f>Texte!A22</f>
        <v xml:space="preserve">    - Pro Tierkategorie die Gesamtmenge Kraftfutter, die auf</v>
      </c>
    </row>
    <row r="23" spans="2:7">
      <c r="B23" s="7" t="str">
        <f>Texte!A23</f>
        <v xml:space="preserve">      dem Ganzjahresbetrieb verfüttert wird, erfassen.</v>
      </c>
    </row>
    <row r="24" spans="2:7">
      <c r="B24" s="7" t="str">
        <f>Texte!A24</f>
        <v xml:space="preserve">    - Sömmerung: bei den Tierzahlen müssen die Anzahl gesömmerte Tiere (positiv) </v>
      </c>
    </row>
    <row r="25" spans="2:7">
      <c r="B25" s="7" t="str">
        <f>Texte!A25</f>
        <v xml:space="preserve">      und die Tage Sömmerung separat erfasst werden.</v>
      </c>
    </row>
    <row r="26" spans="2:7">
      <c r="B26" s="7" t="str">
        <f>Texte!A26</f>
        <v xml:space="preserve">    - Falls die Sömmerung erfasst wird, muss die effektiv verfütterte Menge an</v>
      </c>
    </row>
    <row r="27" spans="2:7">
      <c r="B27" s="7" t="str">
        <f>Texte!A27</f>
        <v xml:space="preserve">      Kraftfutter zwingend in der Futterbilanz deklariert werden. </v>
      </c>
      <c r="G27" s="98"/>
    </row>
    <row r="28" spans="2:7">
      <c r="B28" s="7" t="str">
        <f>Texte!A28</f>
        <v xml:space="preserve">    - KF-Verzehr während Sömmerung nur möglich für gemolkene Tiere folgender Kategorien: Milchkühe,</v>
      </c>
      <c r="G28" s="98"/>
    </row>
    <row r="29" spans="2:7">
      <c r="B29" s="7" t="str">
        <f>Texte!A29</f>
        <v xml:space="preserve">      Milchschafe und Milchziegen. Maximal 1 kg KF/Kuh/d, 0.25 kg/Schaf/d, 0.2kg/Ziege/d</v>
      </c>
      <c r="G29" s="98"/>
    </row>
    <row r="30" spans="2:7">
      <c r="B30" s="7" t="str">
        <f>Texte!A30</f>
        <v xml:space="preserve">    - Für Grund- und Kraftfutter während der Sömmerung gelten ebenfalls </v>
      </c>
    </row>
    <row r="31" spans="2:7">
      <c r="B31" s="7" t="str">
        <f>Texte!A31</f>
        <v xml:space="preserve">      die Definitionen gemäss Anhang 5 DZV.</v>
      </c>
    </row>
    <row r="32" spans="2:7">
      <c r="B32" s="75" t="str">
        <f>Texte!A32</f>
        <v>3. Teil B: Grundfutterproduktion</v>
      </c>
    </row>
    <row r="33" spans="2:2">
      <c r="B33" s="7" t="str">
        <f>Texte!A33</f>
        <v xml:space="preserve">    - Flächen und Erträge erfassen</v>
      </c>
    </row>
    <row r="34" spans="2:2">
      <c r="B34" s="7" t="str">
        <f>Texte!A34</f>
        <v xml:space="preserve">    - Für Wiesen und Weiden gelten Maximalwerte</v>
      </c>
    </row>
    <row r="35" spans="2:2">
      <c r="B35" s="7" t="str">
        <f>Texte!A35</f>
        <v xml:space="preserve">    - Höhere Erträge nur mit Ertragsgutachten möglich</v>
      </c>
    </row>
    <row r="36" spans="2:2">
      <c r="B36" s="7" t="str">
        <f>Texte!A36</f>
        <v xml:space="preserve">    - Erträge Zwischenkulturen max. 25 dt TS</v>
      </c>
    </row>
    <row r="37" spans="2:2">
      <c r="B37" s="75" t="str">
        <f>Texte!A41</f>
        <v>4. Teil C: Zu- und Wegfuhr Grundfutter erfassen</v>
      </c>
    </row>
    <row r="38" spans="2:2">
      <c r="B38" s="7" t="str">
        <f>Texte!A42</f>
        <v xml:space="preserve">    - Code wählen: Zu-, Verkauf, GF produziert ausserhalb der Futterfläche</v>
      </c>
    </row>
    <row r="39" spans="2:2">
      <c r="B39" s="7" t="str">
        <f>Texte!A43</f>
        <v xml:space="preserve">    - Achtung: Grundfutterbilanz muss ausgeglichen sein: Vergleich von </v>
      </c>
    </row>
    <row r="40" spans="2:2">
      <c r="B40" s="7" t="str">
        <f>Texte!A44</f>
        <v xml:space="preserve">      "B1: Grundfutterproduktion total" und "Total auf der Futterfläche </v>
      </c>
    </row>
    <row r="41" spans="2:2">
      <c r="B41" s="7" t="str">
        <f>Texte!A45</f>
        <v xml:space="preserve">      zu produzierendes Grundfutter (GFprod)"</v>
      </c>
    </row>
    <row r="42" spans="2:2">
      <c r="B42" s="75" t="str">
        <f>Texte!A46</f>
        <v xml:space="preserve">5. Teil D: Bilanz </v>
      </c>
    </row>
    <row r="43" spans="2:2">
      <c r="B43" s="7" t="str">
        <f>Texte!A47</f>
        <v xml:space="preserve">    - Abhängig von der Gebietszuteilung wird angezeigt, </v>
      </c>
    </row>
    <row r="44" spans="2:2">
      <c r="B44" s="7" t="str">
        <f>Texte!A48</f>
        <v xml:space="preserve">      ob die Mindestanteile an der Ration erfüllt sind oder nicht.</v>
      </c>
    </row>
    <row r="45" spans="2:2">
      <c r="B45" s="416" t="str">
        <f>Texte!A49</f>
        <v xml:space="preserve">      Grün=Erfüllt</v>
      </c>
    </row>
    <row r="46" spans="2:2">
      <c r="B46" s="417" t="str">
        <f>Texte!A50</f>
        <v xml:space="preserve">      Rot=Nicht erfüllt</v>
      </c>
    </row>
    <row r="47" spans="2:2">
      <c r="B47" s="75"/>
    </row>
    <row r="48" spans="2:2">
      <c r="B48" s="75"/>
    </row>
    <row r="49" spans="2:2">
      <c r="B49" s="134"/>
    </row>
    <row r="50" spans="2:2">
      <c r="B50" s="134"/>
    </row>
    <row r="51" spans="2:2">
      <c r="B51" s="134"/>
    </row>
    <row r="52" spans="2:2">
      <c r="B52" s="134"/>
    </row>
  </sheetData>
  <sheetProtection algorithmName="SHA-512" hashValue="vc59qeknsfO7m+33aHebMtA1mMlj7UTEIvqM+7hTfpNmF9R27UZxxmlSHWFGKwxvibAFt8r3+L2hcmC37Nv1QA==" saltValue="U4zOzFn/uRnfZStfO6yZXg==" spinCount="100000" sheet="1" objects="1" scenarios="1"/>
  <phoneticPr fontId="2" type="noConversion"/>
  <dataValidations count="1">
    <dataValidation type="list" allowBlank="1" showInputMessage="1" showErrorMessage="1" sqref="C9" xr:uid="{92EA994B-2041-4482-AA0D-08F05846F029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529A-2637-431E-AC19-6853CFDE9824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40625" defaultRowHeight="12.75"/>
  <cols>
    <col min="1" max="1" width="1.7109375" style="47" customWidth="1"/>
    <col min="2" max="2" width="18.140625" style="47" customWidth="1"/>
    <col min="3" max="3" width="10.28515625" style="47" customWidth="1"/>
    <col min="4" max="4" width="3" style="47" customWidth="1"/>
    <col min="5" max="5" width="6.7109375" style="47" customWidth="1"/>
    <col min="6" max="7" width="7.42578125" style="47" customWidth="1"/>
    <col min="8" max="8" width="8.42578125" style="47" customWidth="1"/>
    <col min="9" max="9" width="7.28515625" style="47" customWidth="1"/>
    <col min="10" max="11" width="9.28515625" style="47" customWidth="1"/>
    <col min="12" max="12" width="8.5703125" style="47" customWidth="1"/>
    <col min="13" max="13" width="14.7109375" style="47" customWidth="1"/>
    <col min="14" max="14" width="7.28515625" style="47" customWidth="1"/>
    <col min="15" max="15" width="8.85546875" style="47" customWidth="1"/>
    <col min="16" max="16" width="2.42578125" style="47" customWidth="1"/>
    <col min="17" max="17" width="11.42578125" style="47" customWidth="1"/>
    <col min="18" max="18" width="14.28515625" style="47" customWidth="1"/>
    <col min="19" max="19" width="11.5703125" style="47" customWidth="1"/>
    <col min="20" max="20" width="11" style="47" customWidth="1"/>
    <col min="21" max="21" width="15.140625" style="47" customWidth="1"/>
    <col min="22" max="22" width="7.140625" style="47" hidden="1" customWidth="1"/>
    <col min="23" max="23" width="17.5703125" style="47" hidden="1" customWidth="1"/>
    <col min="24" max="24" width="28.7109375" style="47" hidden="1" customWidth="1"/>
    <col min="25" max="26" width="6.28515625" style="47" hidden="1" customWidth="1"/>
    <col min="27" max="27" width="5.85546875" style="47" hidden="1" customWidth="1"/>
    <col min="28" max="28" width="19.140625" style="127" hidden="1" customWidth="1"/>
    <col min="29" max="29" width="8.85546875" style="127" hidden="1" customWidth="1"/>
    <col min="30" max="30" width="3.42578125" style="127" hidden="1" customWidth="1"/>
    <col min="31" max="31" width="8.7109375" style="47" hidden="1" customWidth="1"/>
    <col min="32" max="32" width="12" style="127" hidden="1" customWidth="1"/>
    <col min="33" max="33" width="9.42578125" style="127" hidden="1" customWidth="1"/>
    <col min="34" max="34" width="8" style="47" customWidth="1"/>
    <col min="35" max="37" width="8.7109375" style="136" customWidth="1"/>
    <col min="38" max="38" width="8.7109375" style="47" customWidth="1"/>
    <col min="39" max="41" width="6.42578125" style="47" customWidth="1"/>
    <col min="42" max="16384" width="12.140625" style="47"/>
  </cols>
  <sheetData>
    <row r="1" spans="1:47" ht="9" customHeight="1">
      <c r="AA1" s="127"/>
      <c r="AD1" s="47"/>
      <c r="AE1" s="127"/>
      <c r="AG1" s="47"/>
      <c r="AH1" s="136"/>
      <c r="AK1" s="47"/>
    </row>
    <row r="2" spans="1:47" ht="21" customHeight="1">
      <c r="A2" s="137"/>
      <c r="D2" s="138" t="str">
        <f>Texte!A53</f>
        <v>Futterbilanz für die graslandbasierte</v>
      </c>
      <c r="Q2" s="139"/>
      <c r="R2" s="139"/>
      <c r="S2" s="139" t="str">
        <f>Texte!A5</f>
        <v>GMF</v>
      </c>
      <c r="U2" s="248"/>
      <c r="V2" s="598" t="s">
        <v>158</v>
      </c>
      <c r="X2" s="151" t="s">
        <v>882</v>
      </c>
      <c r="Y2" s="151" t="s">
        <v>1171</v>
      </c>
      <c r="AA2" s="127"/>
      <c r="AB2" s="121"/>
      <c r="AC2" s="121"/>
      <c r="AD2" s="121"/>
      <c r="AE2" s="121"/>
      <c r="AF2" s="121"/>
      <c r="AG2" s="121"/>
      <c r="AH2" s="13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customHeight="1">
      <c r="A3" s="137"/>
      <c r="D3" s="138" t="str">
        <f>Texte!A54</f>
        <v>Milch- und Fleischproduktion</v>
      </c>
      <c r="N3" s="140"/>
      <c r="Q3" s="403"/>
      <c r="R3" s="403"/>
      <c r="S3" s="403" t="str">
        <f>Texte!A6</f>
        <v>Version: 1.11</v>
      </c>
      <c r="U3" s="248"/>
      <c r="V3" s="121"/>
      <c r="X3" s="151" t="s">
        <v>883</v>
      </c>
      <c r="Y3" s="151"/>
      <c r="AA3" s="127"/>
      <c r="AB3" s="121"/>
      <c r="AC3" s="121"/>
      <c r="AD3" s="121"/>
      <c r="AE3" s="121"/>
      <c r="AF3" s="121"/>
      <c r="AG3" s="121"/>
      <c r="AH3" s="13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9.75" customHeight="1">
      <c r="Q4" s="401"/>
      <c r="R4" s="401"/>
      <c r="S4" s="401" t="str">
        <f>Texte!A7</f>
        <v>dazugehörende Suisse-Bilanz Version 1.20</v>
      </c>
      <c r="U4" s="350"/>
      <c r="V4" s="121"/>
      <c r="W4" s="121"/>
      <c r="Y4" s="121"/>
      <c r="AA4" s="127"/>
      <c r="AB4" s="121"/>
      <c r="AC4" s="121"/>
      <c r="AD4" s="121"/>
      <c r="AE4" s="121"/>
      <c r="AF4" s="121"/>
      <c r="AG4" s="136"/>
      <c r="AH4" s="13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7" ht="3" customHeight="1" thickBot="1">
      <c r="B5" s="141"/>
      <c r="C5" s="141"/>
      <c r="D5" s="142"/>
      <c r="E5" s="141"/>
      <c r="F5" s="143"/>
      <c r="G5" s="143"/>
      <c r="H5" s="143"/>
      <c r="I5" s="144"/>
      <c r="J5" s="142"/>
      <c r="K5" s="142"/>
      <c r="L5" s="142"/>
      <c r="M5" s="142"/>
      <c r="N5" s="142"/>
      <c r="O5" s="142"/>
      <c r="P5" s="142"/>
      <c r="Q5" s="142"/>
      <c r="R5" s="142"/>
      <c r="S5" s="142"/>
      <c r="U5" s="121"/>
      <c r="V5" s="121"/>
      <c r="W5" s="121"/>
      <c r="X5" s="121"/>
      <c r="Y5" s="121"/>
      <c r="AA5" s="127"/>
      <c r="AB5" s="121"/>
      <c r="AC5" s="121"/>
      <c r="AD5" s="121"/>
      <c r="AE5" s="121"/>
      <c r="AF5" s="121"/>
      <c r="AG5" s="145"/>
      <c r="AH5" s="13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7" ht="12.75" customHeight="1">
      <c r="B6" s="138"/>
      <c r="C6" s="138"/>
      <c r="E6" s="138"/>
      <c r="F6" s="146"/>
      <c r="G6" s="146"/>
      <c r="H6" s="146"/>
      <c r="I6" s="147"/>
      <c r="M6" s="148"/>
      <c r="N6" s="148"/>
      <c r="O6" s="148"/>
      <c r="P6" s="148"/>
      <c r="Q6" s="148"/>
      <c r="R6" s="148"/>
      <c r="S6" s="148"/>
      <c r="T6" s="121"/>
      <c r="U6" s="121"/>
      <c r="V6" s="398" t="s">
        <v>1194</v>
      </c>
      <c r="W6" s="121"/>
      <c r="X6" s="121"/>
      <c r="Y6" s="121"/>
      <c r="AA6" s="127"/>
      <c r="AB6" s="121"/>
      <c r="AC6" s="121"/>
      <c r="AD6" s="121"/>
      <c r="AE6" s="121"/>
      <c r="AF6" s="121"/>
      <c r="AG6" s="145"/>
      <c r="AH6" s="13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7" ht="15" customHeight="1">
      <c r="B7" s="82" t="str">
        <f>Texte!A55</f>
        <v>Betriebsnummer</v>
      </c>
      <c r="C7" s="76"/>
      <c r="D7" s="77"/>
      <c r="E7" s="77"/>
      <c r="F7" s="77"/>
      <c r="G7" s="77"/>
      <c r="H7" s="77"/>
      <c r="I7" s="77"/>
      <c r="M7" s="100" t="str">
        <f>Texte!A56</f>
        <v>Erntejahr</v>
      </c>
      <c r="N7" s="78"/>
      <c r="O7" s="77"/>
      <c r="P7" s="77"/>
      <c r="Q7" s="77"/>
      <c r="R7" s="77"/>
      <c r="S7" s="77"/>
      <c r="T7" s="121"/>
      <c r="U7" s="121"/>
      <c r="V7" s="398" t="s">
        <v>1170</v>
      </c>
      <c r="W7" s="121"/>
      <c r="X7" s="121"/>
      <c r="Y7" s="398" t="s">
        <v>540</v>
      </c>
      <c r="AA7" s="127"/>
      <c r="AB7" s="398" t="s">
        <v>542</v>
      </c>
      <c r="AC7" s="121"/>
      <c r="AD7" s="121"/>
      <c r="AE7" s="121"/>
      <c r="AF7" s="121"/>
      <c r="AG7" s="136"/>
      <c r="AH7" s="1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7" ht="15" customHeight="1">
      <c r="B8" s="75" t="str">
        <f>Texte!A57</f>
        <v>Name / Vorname</v>
      </c>
      <c r="C8" s="76"/>
      <c r="D8" s="77"/>
      <c r="E8" s="77"/>
      <c r="F8" s="77"/>
      <c r="G8" s="77"/>
      <c r="H8" s="77"/>
      <c r="I8" s="77"/>
      <c r="M8" s="100" t="str">
        <f>Texte!A58</f>
        <v>Variante</v>
      </c>
      <c r="N8" s="78"/>
      <c r="O8" s="77"/>
      <c r="P8" s="77"/>
      <c r="Q8" s="77"/>
      <c r="R8" s="77"/>
      <c r="S8" s="77"/>
      <c r="T8" s="121"/>
      <c r="U8" s="121"/>
      <c r="V8" s="121"/>
      <c r="W8" s="121"/>
      <c r="X8" s="121"/>
      <c r="Y8" s="122"/>
      <c r="Z8"/>
      <c r="AA8"/>
      <c r="AB8" s="122"/>
      <c r="AC8" s="121"/>
      <c r="AD8" s="121"/>
      <c r="AE8" s="121"/>
      <c r="AF8" s="121"/>
      <c r="AG8" s="121"/>
      <c r="AH8" s="136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>
      <c r="M9" s="149"/>
      <c r="R9" s="121"/>
      <c r="S9" s="121"/>
      <c r="T9" s="121"/>
      <c r="U9" s="121"/>
      <c r="V9" s="122" t="str">
        <f>Texte!A68</f>
        <v>Talgebiet</v>
      </c>
      <c r="W9" s="150">
        <v>1</v>
      </c>
      <c r="X9" s="151"/>
      <c r="Y9" s="122" t="str">
        <f>Texte!A71</f>
        <v>Ökonachweis: nicht erfüllt</v>
      </c>
      <c r="Z9" s="122"/>
      <c r="AA9" s="122"/>
      <c r="AB9" s="122" t="str">
        <f>Texte!A75</f>
        <v>keine</v>
      </c>
      <c r="AC9" s="121"/>
      <c r="AD9" s="121"/>
      <c r="AE9" s="121"/>
      <c r="AF9" s="121"/>
      <c r="AG9" s="121"/>
      <c r="AH9" s="15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>
      <c r="B10" s="75" t="str">
        <f>Texte!A59</f>
        <v>Strasse / Hof</v>
      </c>
      <c r="C10" s="78"/>
      <c r="D10" s="77"/>
      <c r="E10" s="77"/>
      <c r="F10" s="77"/>
      <c r="G10" s="77"/>
      <c r="H10" s="77"/>
      <c r="I10" s="77"/>
      <c r="M10" s="100" t="str">
        <f>Texte!A60</f>
        <v>Kanton</v>
      </c>
      <c r="N10" s="78"/>
      <c r="O10" s="77"/>
      <c r="P10" s="77"/>
      <c r="Q10" s="77"/>
      <c r="R10" s="77"/>
      <c r="S10" s="77"/>
      <c r="T10" s="121"/>
      <c r="U10" s="121"/>
      <c r="V10" s="122" t="str">
        <f>Texte!A69</f>
        <v>Berggebiet</v>
      </c>
      <c r="W10" s="150">
        <v>2</v>
      </c>
      <c r="X10" s="151"/>
      <c r="Y10" s="122" t="str">
        <f>Texte!A72</f>
        <v>Ökonachweis: erfüllt</v>
      </c>
      <c r="Z10" s="122"/>
      <c r="AA10" s="122"/>
      <c r="AB10" s="122" t="str">
        <f>Texte!A76</f>
        <v>Gemeinschaft / ein Betrieb</v>
      </c>
      <c r="AC10" s="121"/>
      <c r="AD10" s="121"/>
      <c r="AE10" s="121"/>
      <c r="AF10" s="121"/>
      <c r="AG10" s="121"/>
      <c r="AH10" s="15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>
      <c r="B11" s="75" t="str">
        <f>Texte!A61</f>
        <v>PLZ / Ort</v>
      </c>
      <c r="C11" s="78"/>
      <c r="D11" s="77"/>
      <c r="E11" s="77"/>
      <c r="F11" s="77"/>
      <c r="G11" s="77"/>
      <c r="H11" s="77"/>
      <c r="I11" s="77"/>
      <c r="M11" s="100" t="str">
        <f>Texte!A62</f>
        <v>Fax / E-Mail</v>
      </c>
      <c r="N11" s="366"/>
      <c r="O11" s="83"/>
      <c r="P11" s="83"/>
      <c r="Q11" s="83"/>
      <c r="R11" s="77"/>
      <c r="S11" s="77"/>
      <c r="T11" s="121"/>
      <c r="U11" s="121"/>
      <c r="V11" s="382">
        <f>IF(C15="",0,VLOOKUP($C$15,$V$9:$W$10,2,FALSE))</f>
        <v>0</v>
      </c>
      <c r="W11" s="150"/>
      <c r="X11" s="151"/>
      <c r="Y11" s="122" t="str">
        <f>Texte!A73</f>
        <v>Biologischer Landbau</v>
      </c>
      <c r="Z11" s="122"/>
      <c r="AA11" s="122"/>
      <c r="AB11" s="122" t="str">
        <f>Texte!A77</f>
        <v>mit 2 Betrieben</v>
      </c>
      <c r="AC11" s="121"/>
      <c r="AD11" s="121"/>
      <c r="AE11" s="121"/>
      <c r="AF11" s="121"/>
      <c r="AG11" s="121"/>
      <c r="AH11" s="15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customHeight="1">
      <c r="B12" s="75" t="str">
        <f>Texte!A63</f>
        <v>Telefon</v>
      </c>
      <c r="C12" s="78"/>
      <c r="D12" s="77"/>
      <c r="E12" s="77"/>
      <c r="F12" s="77"/>
      <c r="G12" s="77"/>
      <c r="H12" s="77"/>
      <c r="I12" s="77"/>
      <c r="M12" s="100" t="str">
        <f>Texte!A64</f>
        <v>Handy</v>
      </c>
      <c r="N12" s="78"/>
      <c r="O12" s="77"/>
      <c r="P12" s="77"/>
      <c r="Q12" s="77"/>
      <c r="R12" s="77"/>
      <c r="S12" s="77"/>
      <c r="T12" s="121"/>
      <c r="U12" s="121"/>
      <c r="V12" s="122"/>
      <c r="W12" s="150"/>
      <c r="X12" s="151"/>
      <c r="Y12" s="122"/>
      <c r="Z12" s="122"/>
      <c r="AA12" s="122"/>
      <c r="AB12" s="122" t="str">
        <f>Texte!A78</f>
        <v>mit 3 Betrieben</v>
      </c>
      <c r="AC12" s="121"/>
      <c r="AD12" s="121"/>
      <c r="AE12" s="121"/>
      <c r="AF12" s="121"/>
      <c r="AG12" s="121"/>
      <c r="AH12" s="15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>
      <c r="M13" s="149"/>
      <c r="R13" s="121"/>
      <c r="S13" s="121"/>
      <c r="T13" s="121"/>
      <c r="U13" s="121"/>
      <c r="V13" s="399" t="s">
        <v>1195</v>
      </c>
      <c r="W13" s="150"/>
      <c r="X13" s="151"/>
      <c r="Z13" s="122"/>
      <c r="AA13" s="122"/>
      <c r="AB13" s="122" t="str">
        <f>Texte!A79</f>
        <v>mit 4 Betrieben</v>
      </c>
      <c r="AC13" s="121"/>
      <c r="AD13" s="121"/>
      <c r="AE13" s="121"/>
      <c r="AF13" s="121"/>
      <c r="AG13" s="121"/>
      <c r="AH13" s="15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>
      <c r="B14" s="75" t="str">
        <f>Texte!A65</f>
        <v>Landw. Nutzfläche</v>
      </c>
      <c r="C14" s="120"/>
      <c r="D14" s="77"/>
      <c r="E14" s="77"/>
      <c r="F14" s="77"/>
      <c r="G14" s="77"/>
      <c r="H14" s="77"/>
      <c r="I14" s="77"/>
      <c r="M14" s="100" t="str">
        <f>Texte!A66</f>
        <v>Höhe über Meer</v>
      </c>
      <c r="N14" s="78"/>
      <c r="O14" s="77"/>
      <c r="P14" s="77"/>
      <c r="Q14" s="77"/>
      <c r="R14" s="77"/>
      <c r="S14" s="77"/>
      <c r="T14" s="121"/>
      <c r="U14" s="121"/>
      <c r="W14" s="150"/>
      <c r="X14" s="151"/>
      <c r="Y14" s="151"/>
      <c r="Z14" s="122"/>
      <c r="AA14" s="122"/>
      <c r="AB14" s="160"/>
      <c r="AC14" s="121"/>
      <c r="AD14" s="121"/>
      <c r="AE14" s="121"/>
      <c r="AF14" s="121"/>
      <c r="AG14" s="121"/>
      <c r="AH14" s="15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>
      <c r="B15" s="75" t="str">
        <f>Texte!A67</f>
        <v>Gebietszuteilung</v>
      </c>
      <c r="C15" s="672"/>
      <c r="D15" s="672"/>
      <c r="E15" s="672"/>
      <c r="F15" s="672"/>
      <c r="G15" s="672"/>
      <c r="H15" s="672"/>
      <c r="I15" s="672"/>
      <c r="M15" s="100" t="str">
        <f>Texte!A70</f>
        <v>Produktionsform</v>
      </c>
      <c r="N15" s="671"/>
      <c r="O15" s="671"/>
      <c r="P15" s="671"/>
      <c r="Q15" s="671"/>
      <c r="R15" s="671"/>
      <c r="S15" s="671"/>
      <c r="T15" s="121"/>
      <c r="U15" s="121"/>
      <c r="V15" s="151" t="str">
        <f>Texte!A87</f>
        <v>Ausstall-LG:</v>
      </c>
      <c r="W15" s="124"/>
      <c r="X15" s="151"/>
      <c r="Y15" s="151"/>
      <c r="Z15" s="122"/>
      <c r="AA15" s="122"/>
      <c r="AB15" s="121"/>
      <c r="AC15" s="121"/>
      <c r="AD15" s="121"/>
      <c r="AE15" s="121"/>
      <c r="AF15" s="121"/>
      <c r="AG15" s="121"/>
      <c r="AH15" s="15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>
      <c r="M16" s="100" t="str">
        <f>Texte!A74</f>
        <v>Gemeinschaften</v>
      </c>
      <c r="N16" s="671"/>
      <c r="O16" s="671"/>
      <c r="P16" s="671"/>
      <c r="Q16" s="671"/>
      <c r="R16" s="671"/>
      <c r="S16" s="671"/>
      <c r="T16" s="121"/>
      <c r="U16" s="121"/>
      <c r="V16" s="151" t="str">
        <f>Texte!A88</f>
        <v>nein</v>
      </c>
      <c r="W16" s="124"/>
      <c r="X16" s="151"/>
      <c r="Y16" s="151"/>
      <c r="Z16" s="122"/>
      <c r="AA16" s="122"/>
      <c r="AB16" s="121"/>
      <c r="AC16" s="121"/>
      <c r="AD16" s="121"/>
      <c r="AE16" s="121"/>
      <c r="AF16" s="121"/>
      <c r="AG16" s="121"/>
      <c r="AH16" s="15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7.5" customHeight="1">
      <c r="B17" s="75"/>
      <c r="C17" s="135"/>
      <c r="D17" s="75"/>
      <c r="M17" s="121"/>
      <c r="N17" s="121"/>
      <c r="O17" s="121"/>
      <c r="P17" s="121"/>
      <c r="Q17" s="159"/>
      <c r="R17" s="159"/>
      <c r="S17" s="159"/>
      <c r="T17" s="121"/>
      <c r="U17" s="121"/>
      <c r="V17" s="160"/>
      <c r="W17" s="151"/>
      <c r="X17" s="151"/>
      <c r="Y17" s="151"/>
      <c r="Z17" s="122"/>
      <c r="AA17" s="122"/>
      <c r="AB17" s="121"/>
      <c r="AC17" s="121"/>
      <c r="AD17" s="121"/>
      <c r="AE17" s="121"/>
      <c r="AF17" s="121"/>
      <c r="AG17" s="121"/>
      <c r="AH17" s="15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>
      <c r="B18" s="75" t="str">
        <f>Texte!A80</f>
        <v>Berater / Beraterin</v>
      </c>
      <c r="C18" s="78"/>
      <c r="D18" s="77"/>
      <c r="E18" s="77"/>
      <c r="F18" s="77"/>
      <c r="G18" s="77"/>
      <c r="H18" s="77"/>
      <c r="I18" s="77"/>
      <c r="J18" s="77"/>
      <c r="K18" s="77"/>
      <c r="L18" s="79"/>
      <c r="M18" s="79"/>
      <c r="N18" s="79"/>
      <c r="O18" s="79"/>
      <c r="P18" s="79"/>
      <c r="Q18" s="79"/>
      <c r="R18" s="79"/>
      <c r="S18" s="79"/>
      <c r="T18" s="372"/>
      <c r="U18" s="373"/>
      <c r="X18" s="151"/>
      <c r="Y18" s="151"/>
      <c r="AA18" s="122"/>
      <c r="AB18" s="121"/>
      <c r="AC18" s="121"/>
      <c r="AD18" s="121"/>
      <c r="AE18" s="121"/>
      <c r="AF18" s="121"/>
      <c r="AG18" s="121"/>
      <c r="AH18" s="15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>
      <c r="D19" s="62"/>
      <c r="T19" s="154"/>
      <c r="U19" s="154"/>
      <c r="X19" s="151"/>
      <c r="Y19" s="151"/>
      <c r="AA19" s="122"/>
      <c r="AB19" s="121"/>
      <c r="AC19" s="121"/>
      <c r="AD19" s="121"/>
      <c r="AE19" s="121"/>
      <c r="AF19" s="121"/>
      <c r="AG19" s="121"/>
      <c r="AH19" s="15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>
      <c r="B20" s="75" t="str">
        <f>Texte!A81</f>
        <v>Bemerkungen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728</v>
      </c>
      <c r="P20" s="81"/>
      <c r="Q20" s="81"/>
      <c r="R20" s="81"/>
      <c r="S20" s="81"/>
      <c r="T20" s="154" t="s">
        <v>728</v>
      </c>
      <c r="U20" s="154"/>
      <c r="X20" s="151"/>
      <c r="Y20" s="151"/>
      <c r="AA20" s="122"/>
      <c r="AB20" s="121"/>
      <c r="AC20" s="121"/>
      <c r="AD20" s="121"/>
      <c r="AE20" s="121"/>
      <c r="AF20" s="121"/>
      <c r="AG20" s="121"/>
      <c r="AH20" s="15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>
      <c r="B21" s="155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728</v>
      </c>
      <c r="P21" s="81"/>
      <c r="Q21" s="81"/>
      <c r="R21" s="81"/>
      <c r="S21" s="81"/>
      <c r="T21" s="154" t="s">
        <v>728</v>
      </c>
      <c r="U21" s="154"/>
      <c r="X21" s="151"/>
      <c r="Y21" s="151"/>
      <c r="AA21" s="122"/>
      <c r="AB21" s="121"/>
      <c r="AC21" s="121"/>
      <c r="AD21" s="121"/>
      <c r="AE21" s="121"/>
      <c r="AF21" s="121"/>
      <c r="AG21" s="121"/>
      <c r="AH21" s="15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>
      <c r="B22" s="155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728</v>
      </c>
      <c r="P22" s="81"/>
      <c r="Q22" s="81"/>
      <c r="R22" s="81"/>
      <c r="S22" s="81"/>
      <c r="T22" s="154" t="s">
        <v>728</v>
      </c>
      <c r="U22" s="154"/>
      <c r="X22" s="151"/>
      <c r="Y22" s="151"/>
      <c r="AA22" s="122"/>
      <c r="AB22" s="121"/>
      <c r="AC22" s="121"/>
      <c r="AD22" s="121"/>
      <c r="AE22" s="121"/>
      <c r="AF22" s="121"/>
      <c r="AG22" s="121"/>
      <c r="AH22" s="15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>
      <c r="B23" s="15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728</v>
      </c>
      <c r="P23" s="81"/>
      <c r="Q23" s="81"/>
      <c r="R23" s="81"/>
      <c r="S23" s="81"/>
      <c r="T23" s="154" t="s">
        <v>728</v>
      </c>
      <c r="U23" s="154"/>
      <c r="X23" s="151"/>
      <c r="Y23" s="151"/>
      <c r="AA23" s="122"/>
      <c r="AB23" s="121"/>
      <c r="AC23" s="121"/>
      <c r="AD23" s="121"/>
      <c r="AE23" s="121"/>
      <c r="AF23" s="121"/>
      <c r="AG23" s="121"/>
      <c r="AH23" s="15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>
      <c r="B24" s="155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728</v>
      </c>
      <c r="P24" s="81"/>
      <c r="Q24" s="81"/>
      <c r="R24" s="81"/>
      <c r="S24" s="81"/>
      <c r="T24" s="154" t="s">
        <v>728</v>
      </c>
      <c r="U24" s="154"/>
      <c r="X24" s="151"/>
      <c r="Y24" s="151"/>
      <c r="AA24" s="122"/>
      <c r="AB24" s="121"/>
      <c r="AC24" s="121"/>
      <c r="AD24" s="121"/>
      <c r="AE24" s="121"/>
      <c r="AF24" s="121"/>
      <c r="AG24" s="121"/>
      <c r="AH24" s="15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>
      <c r="B25" s="155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 t="s">
        <v>728</v>
      </c>
      <c r="P25" s="81"/>
      <c r="Q25" s="81"/>
      <c r="R25" s="81"/>
      <c r="S25" s="81"/>
      <c r="T25" s="121" t="s">
        <v>728</v>
      </c>
      <c r="U25" s="121"/>
      <c r="V25" s="151"/>
      <c r="W25" s="151"/>
      <c r="X25" s="151"/>
      <c r="Y25" s="151"/>
      <c r="AA25" s="122"/>
      <c r="AB25" s="121"/>
      <c r="AC25" s="121"/>
      <c r="AD25" s="121"/>
      <c r="AE25" s="121"/>
      <c r="AF25" s="121"/>
      <c r="AG25" s="121"/>
      <c r="AH25" s="15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>
      <c r="B26" s="15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728</v>
      </c>
      <c r="P26" s="81"/>
      <c r="Q26" s="81"/>
      <c r="R26" s="81"/>
      <c r="S26" s="81"/>
      <c r="T26" s="121" t="s">
        <v>728</v>
      </c>
      <c r="U26" s="121"/>
      <c r="V26" s="151"/>
      <c r="W26" s="151"/>
      <c r="X26" s="151"/>
      <c r="Y26" s="151"/>
      <c r="AA26" s="122"/>
      <c r="AB26" s="121"/>
      <c r="AC26" s="121"/>
      <c r="AD26" s="121"/>
      <c r="AE26" s="121"/>
      <c r="AF26" s="121"/>
      <c r="AG26" s="121"/>
      <c r="AH26" s="15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>
      <c r="B27" s="15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728</v>
      </c>
      <c r="P27" s="81"/>
      <c r="Q27" s="81"/>
      <c r="R27" s="81"/>
      <c r="S27" s="81"/>
      <c r="T27" s="121" t="s">
        <v>728</v>
      </c>
      <c r="U27" s="121"/>
      <c r="W27" s="151"/>
      <c r="X27" s="151"/>
      <c r="Y27" s="151"/>
      <c r="AA27" s="122"/>
      <c r="AB27" s="121"/>
      <c r="AC27" s="121"/>
      <c r="AD27" s="121"/>
      <c r="AE27" s="121"/>
      <c r="AF27" s="121"/>
      <c r="AG27" s="121"/>
      <c r="AH27" s="15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>
      <c r="B28" s="155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728</v>
      </c>
      <c r="P28" s="81"/>
      <c r="Q28" s="81"/>
      <c r="R28" s="81"/>
      <c r="S28" s="81"/>
      <c r="T28" s="121" t="s">
        <v>728</v>
      </c>
      <c r="U28" s="121"/>
      <c r="W28" s="151"/>
      <c r="X28" s="151"/>
      <c r="Y28" s="151"/>
      <c r="AA28" s="122"/>
      <c r="AB28" s="121"/>
      <c r="AC28" s="121"/>
      <c r="AD28" s="121"/>
      <c r="AE28" s="121"/>
      <c r="AF28" s="121"/>
      <c r="AG28" s="121"/>
      <c r="AH28" s="15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>
      <c r="B29" s="15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728</v>
      </c>
      <c r="P29" s="81"/>
      <c r="Q29" s="81"/>
      <c r="R29" s="81"/>
      <c r="S29" s="81"/>
      <c r="T29" s="121" t="s">
        <v>728</v>
      </c>
      <c r="U29" s="121"/>
      <c r="W29" s="151"/>
      <c r="X29" s="151"/>
      <c r="Y29" s="151"/>
      <c r="AA29" s="122"/>
      <c r="AB29" s="121"/>
      <c r="AC29" s="121"/>
      <c r="AD29" s="121"/>
      <c r="AE29" s="121"/>
      <c r="AF29" s="121"/>
      <c r="AG29" s="121"/>
      <c r="AH29" s="15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>
      <c r="N30" s="121"/>
      <c r="O30" s="121"/>
      <c r="P30" s="121"/>
      <c r="Q30" s="121"/>
      <c r="R30" s="121"/>
      <c r="S30" s="121"/>
      <c r="T30" s="121"/>
      <c r="U30" s="121"/>
      <c r="W30" s="151"/>
      <c r="X30" s="151"/>
      <c r="Y30" s="151"/>
      <c r="AA30" s="122"/>
      <c r="AB30" s="121"/>
      <c r="AC30" s="121"/>
      <c r="AD30" s="121"/>
      <c r="AE30" s="121"/>
      <c r="AF30" s="121"/>
      <c r="AG30" s="121"/>
      <c r="AH30" s="15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6.5" customHeight="1">
      <c r="A31" s="156"/>
      <c r="B31" s="157" t="str">
        <f>Texte!A82</f>
        <v>Teil A: Grund- und Kraftfutterverzehr (Bedarf)</v>
      </c>
      <c r="C31" s="156"/>
      <c r="D31" s="156"/>
      <c r="E31" s="156"/>
      <c r="F31" s="158"/>
      <c r="G31" s="158"/>
      <c r="H31" s="158"/>
      <c r="I31" s="158"/>
      <c r="J31" s="158"/>
      <c r="U31" s="159"/>
      <c r="W31" s="160"/>
      <c r="Y31" s="160"/>
      <c r="Z31" s="400" t="s">
        <v>1196</v>
      </c>
      <c r="AA31" s="560"/>
      <c r="AB31" s="590" t="s">
        <v>446</v>
      </c>
      <c r="AD31" s="159"/>
      <c r="AE31" s="161"/>
      <c r="AF31" s="162"/>
      <c r="AG31" s="47"/>
      <c r="AH31" s="15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9.9499999999999993" customHeight="1">
      <c r="B32" s="163"/>
      <c r="C32" s="163"/>
      <c r="D32" s="163"/>
      <c r="E32" s="163"/>
      <c r="S32" s="274" t="s">
        <v>1432</v>
      </c>
      <c r="U32" s="159"/>
      <c r="W32" s="160"/>
      <c r="Y32" s="273" t="s">
        <v>444</v>
      </c>
      <c r="Z32" s="382">
        <f>IF(G41=0,0,F33/G41*100)</f>
        <v>0</v>
      </c>
      <c r="AA32" s="564"/>
      <c r="AB32" s="565" t="s">
        <v>693</v>
      </c>
      <c r="AC32" s="566">
        <v>1</v>
      </c>
      <c r="AD32" s="159"/>
      <c r="AE32" s="161"/>
      <c r="AF32" s="161"/>
      <c r="AG32" s="159"/>
      <c r="AH32" s="159"/>
      <c r="AI32" s="159"/>
      <c r="AJ32" s="159"/>
      <c r="AK32" s="4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52" ht="13.5" customHeight="1">
      <c r="A33" s="163"/>
      <c r="C33" s="163"/>
      <c r="E33" s="126" t="str">
        <f>Texte!A83</f>
        <v>Total Kraftfutterverbrauch für Milchkühe auf LN</v>
      </c>
      <c r="F33" s="51"/>
      <c r="G33" s="47" t="str">
        <f>Texte!A84</f>
        <v>dt/Jahr</v>
      </c>
      <c r="L33" s="274" t="str">
        <f>Texte!A85</f>
        <v xml:space="preserve">Zusatzangaben für Rindviehmast über 160-tägig: </v>
      </c>
      <c r="M33" s="164" t="str">
        <f>Texte!A86</f>
        <v>TZW:</v>
      </c>
      <c r="N33" s="51">
        <v>1400</v>
      </c>
      <c r="O33" s="159" t="s">
        <v>1285</v>
      </c>
      <c r="P33" s="159"/>
      <c r="Q33" s="159"/>
      <c r="R33" s="164" t="str">
        <f>Texte!A134</f>
        <v>Jungvieh, 1 bis 2-jährig</v>
      </c>
      <c r="S33" s="643"/>
      <c r="T33" s="641"/>
      <c r="W33" s="160"/>
      <c r="X33" s="169"/>
      <c r="Y33" s="273" t="s">
        <v>445</v>
      </c>
      <c r="Z33" s="382">
        <f>IF(G42=0,0,M42/G42*100)</f>
        <v>0</v>
      </c>
      <c r="AA33" s="560"/>
      <c r="AB33" s="565" t="s">
        <v>447</v>
      </c>
      <c r="AC33" s="566">
        <v>0.25</v>
      </c>
      <c r="AD33" s="47"/>
      <c r="AE33" s="127"/>
      <c r="AF33" s="161"/>
      <c r="AG33" s="47"/>
      <c r="AH33" s="136"/>
      <c r="AI33" s="159"/>
      <c r="AJ33" s="159"/>
      <c r="AK33" s="4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52" ht="13.5" customHeight="1">
      <c r="A34" s="163"/>
      <c r="B34" s="127"/>
      <c r="C34" s="163"/>
      <c r="L34" s="165"/>
      <c r="M34" s="165" t="str">
        <f>Texte!A87</f>
        <v>Ausstall-LG:</v>
      </c>
      <c r="N34" s="51">
        <v>530</v>
      </c>
      <c r="O34" s="159" t="s">
        <v>628</v>
      </c>
      <c r="P34" s="159"/>
      <c r="Q34" s="159"/>
      <c r="R34" s="164" t="str">
        <f>Texte!A135</f>
        <v>Jungvieh &gt;2-jährig</v>
      </c>
      <c r="S34" s="643"/>
      <c r="T34" s="641"/>
      <c r="W34" s="160"/>
      <c r="X34" s="169"/>
      <c r="Y34" s="170"/>
      <c r="Z34" s="170"/>
      <c r="AA34" s="560"/>
      <c r="AB34" s="565" t="s">
        <v>448</v>
      </c>
      <c r="AC34" s="566">
        <v>0.2</v>
      </c>
      <c r="AD34" s="47"/>
      <c r="AE34" s="127"/>
      <c r="AF34" s="161"/>
      <c r="AG34" s="47"/>
      <c r="AH34" s="136"/>
      <c r="AI34" s="159"/>
      <c r="AJ34" s="159"/>
      <c r="AK34" s="44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52" ht="12" customHeight="1"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V35" s="168"/>
      <c r="W35" s="160"/>
      <c r="X35" s="169"/>
      <c r="Y35" s="170"/>
      <c r="Z35" s="622" t="s">
        <v>1318</v>
      </c>
      <c r="AA35" s="171"/>
      <c r="AB35" s="172"/>
      <c r="AC35" s="172"/>
      <c r="AD35" s="172"/>
      <c r="AE35" s="172"/>
      <c r="AF35" s="173"/>
      <c r="AG35" s="47"/>
      <c r="AH35" s="136"/>
      <c r="AK35" s="47"/>
      <c r="AL35" s="44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52" ht="12.75" customHeight="1">
      <c r="A36" s="174"/>
      <c r="B36" s="175"/>
      <c r="C36" s="176"/>
      <c r="D36" s="176"/>
      <c r="E36" s="176"/>
      <c r="F36" s="177"/>
      <c r="G36" s="177"/>
      <c r="H36" s="163"/>
      <c r="J36" s="178"/>
      <c r="K36" s="179" t="str">
        <f>Texte!A99</f>
        <v>Grundfutter-</v>
      </c>
      <c r="L36" s="180"/>
      <c r="M36" s="179" t="str">
        <f>Texte!A105</f>
        <v>Kraftfutter-</v>
      </c>
      <c r="N36" s="179" t="str">
        <f>Texte!A110</f>
        <v>Sömmerung</v>
      </c>
      <c r="O36" s="468"/>
      <c r="P36" s="468"/>
      <c r="Q36" s="469"/>
      <c r="R36" s="468"/>
      <c r="S36" s="181"/>
      <c r="V36" s="168"/>
      <c r="W36" s="168"/>
      <c r="Y36" s="622" t="s">
        <v>1344</v>
      </c>
      <c r="Z36" s="631" t="s">
        <v>1324</v>
      </c>
      <c r="AA36" s="632" t="s">
        <v>1325</v>
      </c>
      <c r="AB36" s="633" t="s">
        <v>1343</v>
      </c>
      <c r="AC36" s="47"/>
      <c r="AD36" s="47"/>
      <c r="AF36" s="47"/>
      <c r="AG36" s="47"/>
      <c r="AH36" s="136"/>
      <c r="AK36" s="47"/>
      <c r="AL36" s="44"/>
      <c r="AM36" s="182"/>
      <c r="AN36" s="1"/>
      <c r="AO36" s="1"/>
      <c r="AP36" s="172"/>
      <c r="AQ36" s="1"/>
      <c r="AR36" s="1"/>
      <c r="AS36" s="1"/>
      <c r="AT36" s="1"/>
      <c r="AU36" s="1"/>
      <c r="AV36" s="1"/>
    </row>
    <row r="37" spans="1:52" ht="12.75" customHeight="1">
      <c r="A37" s="183"/>
      <c r="B37" s="184"/>
      <c r="C37" s="185"/>
      <c r="D37" s="185"/>
      <c r="E37" s="185"/>
      <c r="F37" s="186"/>
      <c r="H37" s="187" t="str">
        <f>Texte!A92</f>
        <v>Abzug /</v>
      </c>
      <c r="I37" s="188"/>
      <c r="J37" s="189" t="str">
        <f>Texte!A96</f>
        <v>Anzahl</v>
      </c>
      <c r="K37" s="190" t="str">
        <f>Texte!A100</f>
        <v>verzehr</v>
      </c>
      <c r="L37" s="191"/>
      <c r="M37" s="192" t="str">
        <f>Texte!A106</f>
        <v>verzehr</v>
      </c>
      <c r="N37" s="320"/>
      <c r="O37" s="470"/>
      <c r="P37" s="470"/>
      <c r="Q37" s="471"/>
      <c r="R37" s="472"/>
      <c r="S37" s="193"/>
      <c r="T37" s="196"/>
      <c r="U37" s="196"/>
      <c r="V37" s="168"/>
      <c r="W37" s="168"/>
      <c r="X37" s="622" t="s">
        <v>1316</v>
      </c>
      <c r="Y37" s="169">
        <v>1400</v>
      </c>
      <c r="Z37" s="160">
        <v>850</v>
      </c>
      <c r="AA37" s="632">
        <v>1500</v>
      </c>
      <c r="AB37" s="633">
        <f>IF(AND(N33&gt;=Z37,N33&lt;=AA37),N33,IF(N33&lt;Z37,Z37,AA37))</f>
        <v>1400</v>
      </c>
      <c r="AC37" s="163"/>
      <c r="AD37" s="47"/>
      <c r="AF37" s="47"/>
      <c r="AG37" s="47"/>
      <c r="AH37" s="136"/>
      <c r="AK37" s="47"/>
      <c r="AL37" s="44"/>
      <c r="AM37" s="668"/>
      <c r="AN37" s="669"/>
      <c r="AO37" s="669"/>
      <c r="AP37" s="670"/>
      <c r="AQ37" s="1"/>
      <c r="AR37" s="1"/>
      <c r="AS37" s="1"/>
      <c r="AT37" s="1"/>
      <c r="AU37" s="1"/>
      <c r="AV37" s="1"/>
    </row>
    <row r="38" spans="1:52" ht="12.75" customHeight="1">
      <c r="A38" s="174"/>
      <c r="B38" s="198" t="str">
        <f>Texte!A89</f>
        <v>Tierart bzw. Tierkategorie</v>
      </c>
      <c r="C38" s="185"/>
      <c r="D38" s="185"/>
      <c r="E38" s="185"/>
      <c r="F38" s="186" t="str">
        <f>Texte!A90</f>
        <v>Einheit</v>
      </c>
      <c r="G38" s="186" t="str">
        <f>Texte!A91</f>
        <v>Anzahl</v>
      </c>
      <c r="H38" s="187" t="str">
        <f>Texte!A93</f>
        <v>Zuschlag</v>
      </c>
      <c r="I38" s="199"/>
      <c r="J38" s="189" t="str">
        <f>Texte!A97</f>
        <v>korri-</v>
      </c>
      <c r="K38" s="200" t="str">
        <f>Texte!A104</f>
        <v>dt TS</v>
      </c>
      <c r="L38" s="200" t="str">
        <f>Texte!A104</f>
        <v>dt TS</v>
      </c>
      <c r="M38" s="189" t="str">
        <f>Texte!A102</f>
        <v>dt FS</v>
      </c>
      <c r="N38" s="189" t="str">
        <f>Texte!A111</f>
        <v>Anzahl</v>
      </c>
      <c r="O38" s="189" t="str">
        <f>Texte!A113</f>
        <v>Anzahl</v>
      </c>
      <c r="P38" s="188" t="str">
        <f>Texte!A115</f>
        <v>Sömmerungs-</v>
      </c>
      <c r="Q38" s="408"/>
      <c r="R38" s="189" t="str">
        <f>Texte!A117</f>
        <v>GF-Verzehr</v>
      </c>
      <c r="S38" s="189" t="str">
        <f>Texte!A118</f>
        <v>Kraftfutter</v>
      </c>
      <c r="T38" s="201"/>
      <c r="U38" s="201"/>
      <c r="V38" s="128"/>
      <c r="W38" s="168"/>
      <c r="X38" s="622" t="s">
        <v>1317</v>
      </c>
      <c r="Y38" s="169">
        <v>530</v>
      </c>
      <c r="Z38" s="202">
        <v>400</v>
      </c>
      <c r="AA38" s="632">
        <v>580</v>
      </c>
      <c r="AB38" s="633">
        <f>IF(AND(N34&gt;=Z38,N34&lt;=AA38),N34,IF(N34&lt;Z38,Z38,AA38))</f>
        <v>530</v>
      </c>
      <c r="AC38" s="203"/>
      <c r="AF38" s="203"/>
      <c r="AG38" s="47"/>
      <c r="AH38" s="136"/>
      <c r="AK38" s="47"/>
      <c r="AL38" s="44"/>
      <c r="AM38" s="1"/>
      <c r="AN38" s="1"/>
      <c r="AO38" s="1"/>
      <c r="AP38" s="1"/>
      <c r="AQ38" s="1"/>
      <c r="AR38" s="1"/>
      <c r="AS38" s="1"/>
      <c r="AT38" s="1"/>
      <c r="AU38" s="1"/>
    </row>
    <row r="39" spans="1:52" ht="12.75" customHeight="1">
      <c r="A39" s="174"/>
      <c r="B39" s="204"/>
      <c r="C39" s="205"/>
      <c r="D39" s="205"/>
      <c r="E39" s="205"/>
      <c r="F39" s="206"/>
      <c r="G39" s="206"/>
      <c r="H39" s="206" t="str">
        <f>Texte!A94</f>
        <v>± Tiere</v>
      </c>
      <c r="I39" s="28" t="str">
        <f>Texte!A95</f>
        <v>Tage</v>
      </c>
      <c r="J39" s="536" t="str">
        <f>Texte!A98</f>
        <v>giert</v>
      </c>
      <c r="K39" s="207" t="str">
        <f>Texte!A101</f>
        <v>pro Jahr</v>
      </c>
      <c r="L39" s="207" t="str">
        <f>Texte!A103</f>
        <v>total</v>
      </c>
      <c r="M39" s="207" t="str">
        <f>Texte!A103</f>
        <v>total</v>
      </c>
      <c r="N39" s="207" t="str">
        <f>Texte!A112</f>
        <v>Tiere</v>
      </c>
      <c r="O39" s="207" t="str">
        <f>Texte!A114</f>
        <v>Tage</v>
      </c>
      <c r="P39" s="606" t="str">
        <f>Texte!A116</f>
        <v>tage total</v>
      </c>
      <c r="Q39" s="408"/>
      <c r="R39" s="207" t="str">
        <f>Texte!A119</f>
        <v>dt TS total</v>
      </c>
      <c r="S39" s="207" t="str">
        <f>Texte!A120</f>
        <v>dt FS total</v>
      </c>
      <c r="T39" s="201"/>
      <c r="U39" s="201"/>
      <c r="V39" s="208"/>
      <c r="W39" s="218"/>
      <c r="X39" s="169"/>
      <c r="Y39" s="170"/>
      <c r="Z39" s="170"/>
      <c r="AA39" s="209"/>
      <c r="AB39" s="203"/>
      <c r="AC39" s="203"/>
      <c r="AD39" s="210"/>
      <c r="AE39" s="203"/>
      <c r="AF39" s="203"/>
      <c r="AG39" s="47"/>
      <c r="AH39" s="136"/>
      <c r="AK39" s="47"/>
      <c r="AL39" s="44"/>
      <c r="AM39" s="1"/>
      <c r="AN39" s="1"/>
      <c r="AO39" s="1"/>
      <c r="AP39" s="1"/>
      <c r="AQ39" s="1"/>
      <c r="AR39" s="1"/>
      <c r="AS39" s="1"/>
      <c r="AT39" s="1"/>
      <c r="AU39" s="1"/>
      <c r="AV39" s="1"/>
      <c r="AZ39" s="47">
        <v>0</v>
      </c>
    </row>
    <row r="40" spans="1:52" ht="12.75" customHeight="1">
      <c r="A40" s="174"/>
      <c r="B40" s="211" t="str">
        <f>Texte!A122</f>
        <v>Rindvieh</v>
      </c>
      <c r="C40" s="66"/>
      <c r="D40" s="66"/>
      <c r="E40" s="66"/>
      <c r="F40" s="66"/>
      <c r="G40" s="66"/>
      <c r="H40" s="66"/>
      <c r="I40" s="212"/>
      <c r="J40" s="213"/>
      <c r="K40" s="213"/>
      <c r="L40" s="213"/>
      <c r="M40" s="213"/>
      <c r="N40" s="213"/>
      <c r="O40" s="213"/>
      <c r="P40" s="320"/>
      <c r="Q40" s="213"/>
      <c r="R40" s="213"/>
      <c r="S40" s="213"/>
      <c r="T40" s="201"/>
      <c r="U40" s="201"/>
      <c r="V40" s="208"/>
      <c r="W40" s="644"/>
      <c r="X40" s="645"/>
      <c r="Y40" s="646"/>
      <c r="Z40" s="647" t="s">
        <v>1433</v>
      </c>
      <c r="AA40" s="648"/>
      <c r="AB40" s="648"/>
      <c r="AC40" s="648"/>
      <c r="AD40" s="649"/>
      <c r="AE40" s="203"/>
      <c r="AF40" s="203"/>
      <c r="AG40" s="47"/>
      <c r="AH40" s="136"/>
      <c r="AK40" s="47"/>
      <c r="AL40" s="44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52" ht="12.75" customHeight="1">
      <c r="A41" s="214"/>
      <c r="B41" s="215" t="str">
        <f>Texte!A124</f>
        <v>Milchkühe</v>
      </c>
      <c r="C41" s="216"/>
      <c r="D41" s="419" t="str">
        <f>Texte!A123</f>
        <v>Ø Milchprod. kg/Jahr</v>
      </c>
      <c r="E41" s="217"/>
      <c r="F41" s="2" t="str">
        <f>IF($B41="","",VLOOKUP($B41,Daten!$B$8:$E$64,2,FALSE))</f>
        <v>1 Stück</v>
      </c>
      <c r="G41" s="93"/>
      <c r="H41" s="94"/>
      <c r="I41" s="94"/>
      <c r="J41" s="531">
        <f>IF(OR(AND(H41&lt;0,G41&lt;ABS(H41)),I41&gt;365),"!",G41+(H41*I41/365))</f>
        <v>0</v>
      </c>
      <c r="K41" s="531">
        <f>0.14*(E41-7500)/100-(0.003*((E41-7500)/100)^2)+56+((-80+0.025*E41)*E41/1000-Z32)*0.012</f>
        <v>28.625</v>
      </c>
      <c r="L41" s="533" t="str">
        <f t="shared" ref="L41:L60" si="0">IF(J41&gt;0,J41*K41,"")</f>
        <v/>
      </c>
      <c r="M41" s="535">
        <f>F33</f>
        <v>0</v>
      </c>
      <c r="N41" s="94"/>
      <c r="O41" s="94"/>
      <c r="P41" s="615"/>
      <c r="Q41" s="609">
        <f>N41*O41</f>
        <v>0</v>
      </c>
      <c r="R41" s="533" t="str">
        <f>IF($N41=0,"",(0.14*(E41-7500)/100-(0.003*((E41-7500)/100)^2)+56)*$Q41/365)</f>
        <v/>
      </c>
      <c r="S41" s="475"/>
      <c r="T41" s="476" t="str">
        <f>IF(S41=0,"",IF(S41&gt;N41*O41*AC32/100,Texte!A190,""))</f>
        <v/>
      </c>
      <c r="V41" s="124"/>
      <c r="W41" s="644"/>
      <c r="X41" s="645"/>
      <c r="Y41" s="646"/>
      <c r="Z41" s="650" t="s">
        <v>1437</v>
      </c>
      <c r="AA41" s="651" t="s">
        <v>1435</v>
      </c>
      <c r="AB41" s="652" t="s">
        <v>1434</v>
      </c>
      <c r="AC41" s="652" t="s">
        <v>1439</v>
      </c>
      <c r="AD41" s="653" t="s">
        <v>1436</v>
      </c>
      <c r="AE41" s="654"/>
      <c r="AG41" s="47"/>
      <c r="AH41" s="136"/>
      <c r="AK41" s="47"/>
      <c r="AL41" s="44"/>
      <c r="AM41" s="182"/>
      <c r="AN41" s="1"/>
      <c r="AO41" s="1"/>
      <c r="AP41" s="172"/>
      <c r="AQ41" s="1"/>
      <c r="AR41" s="1"/>
      <c r="AS41" s="1"/>
      <c r="AT41" s="1"/>
      <c r="AU41" s="1"/>
      <c r="AV41" s="1"/>
      <c r="AZ41" s="162">
        <v>50</v>
      </c>
    </row>
    <row r="42" spans="1:52" ht="12.75" customHeight="1">
      <c r="A42" s="214"/>
      <c r="B42" s="220" t="str">
        <f>Texte!A125</f>
        <v>andere Kühe</v>
      </c>
      <c r="C42" s="221"/>
      <c r="D42" s="419" t="str">
        <f>Texte!A123</f>
        <v>Ø Milchprod. kg/Jahr</v>
      </c>
      <c r="E42" s="222"/>
      <c r="F42" s="2" t="str">
        <f>IF($B42="","",VLOOKUP($B42,Daten!$B$8:$E$64,2,FALSE))</f>
        <v>1 Stück</v>
      </c>
      <c r="G42" s="93"/>
      <c r="H42" s="95"/>
      <c r="I42" s="95"/>
      <c r="J42" s="531">
        <f t="shared" ref="J42:J81" si="1">IF(OR(AND(H42&lt;0,G42&lt;ABS(H42)),I42&gt;365),"!",G42+(H42*I42/365))</f>
        <v>0</v>
      </c>
      <c r="K42" s="531">
        <f>0.14*(E41-7500)/100-(0.003*((E41-7500)/100)^2)+56+((-80+0.025*E42)*E42/1000-Z33)*0.012</f>
        <v>28.625</v>
      </c>
      <c r="L42" s="533" t="str">
        <f t="shared" si="0"/>
        <v/>
      </c>
      <c r="M42" s="95"/>
      <c r="N42" s="95"/>
      <c r="O42" s="95"/>
      <c r="P42" s="612"/>
      <c r="Q42" s="609">
        <f t="shared" ref="Q42:Q67" si="2">N42*O42</f>
        <v>0</v>
      </c>
      <c r="R42" s="533" t="str">
        <f t="shared" ref="R42:R60" si="3">IF($N42=0,"",$K42*$Q42/365)</f>
        <v/>
      </c>
      <c r="S42" s="232"/>
      <c r="V42" s="124"/>
      <c r="W42" s="644"/>
      <c r="X42" s="645"/>
      <c r="Y42" s="655" t="str">
        <f>Texte!A134</f>
        <v>Jungvieh, 1 bis 2-jährig</v>
      </c>
      <c r="Z42" s="656">
        <f>VLOOKUP(S33,AD43:AE44,2,FALSE)</f>
        <v>0</v>
      </c>
      <c r="AA42" s="657">
        <f>IF(Z42=0,0,L47)</f>
        <v>0</v>
      </c>
      <c r="AB42" s="658">
        <f>IF(Z42=0,0,M47)</f>
        <v>0</v>
      </c>
      <c r="AC42" s="658">
        <f>IF(Z42=0,0,R47)</f>
        <v>0</v>
      </c>
      <c r="AD42" s="659"/>
      <c r="AE42" s="660"/>
      <c r="AG42" s="47"/>
      <c r="AH42" s="136"/>
      <c r="AK42" s="47"/>
      <c r="AL42" s="44"/>
      <c r="AM42" s="668"/>
      <c r="AN42" s="669"/>
      <c r="AO42" s="669"/>
      <c r="AP42" s="670"/>
      <c r="AQ42" s="1"/>
      <c r="AR42" s="1"/>
      <c r="AS42" s="1"/>
      <c r="AT42" s="1"/>
      <c r="AU42" s="1"/>
      <c r="AV42" s="1"/>
      <c r="AZ42" s="162">
        <v>100</v>
      </c>
    </row>
    <row r="43" spans="1:52" ht="12.75" customHeight="1">
      <c r="A43" s="214"/>
      <c r="B43" s="220" t="str">
        <f>Texte!A126</f>
        <v>Ausmastkuh</v>
      </c>
      <c r="C43" s="589" t="str">
        <f>Texte!A128</f>
        <v>arbeitsteiliger Produktion</v>
      </c>
      <c r="D43" s="419"/>
      <c r="F43" s="2" t="str">
        <f>IF($B43="","",VLOOKUP($B43,Daten!$B$8:$E$64,2,FALSE))</f>
        <v>1 Stück</v>
      </c>
      <c r="G43" s="93"/>
      <c r="H43" s="95"/>
      <c r="I43" s="95"/>
      <c r="J43" s="531">
        <f t="shared" si="1"/>
        <v>0</v>
      </c>
      <c r="K43" s="531">
        <f>IF($B43="","",IF(EXACT(B43,A$282),VLOOKUP($B43,Daten!$B$8:$E$64,4,FALSE)+(-0.43)*((AB$37-Y$37)/100)+0.58*((AB$38-Y$38)/20),VLOOKUP($B43,Daten!$B$8:$E$64,4,FALSE)))</f>
        <v>53.2</v>
      </c>
      <c r="L43" s="533" t="str">
        <f t="shared" si="0"/>
        <v/>
      </c>
      <c r="M43" s="95"/>
      <c r="N43" s="95"/>
      <c r="O43" s="95"/>
      <c r="P43" s="607"/>
      <c r="Q43" s="609">
        <f>N43*O43</f>
        <v>0</v>
      </c>
      <c r="R43" s="533" t="str">
        <f t="shared" si="3"/>
        <v/>
      </c>
      <c r="S43" s="232"/>
      <c r="V43" s="124"/>
      <c r="W43" s="644"/>
      <c r="X43" s="645"/>
      <c r="Y43" s="655" t="str">
        <f>Texte!A135</f>
        <v>Jungvieh &gt;2-jährig</v>
      </c>
      <c r="Z43" s="656">
        <f>VLOOKUP(S34,AD43:AE44,2,FALSE)</f>
        <v>0</v>
      </c>
      <c r="AA43" s="657">
        <f>IF(Z43=0,0,L48)</f>
        <v>0</v>
      </c>
      <c r="AB43" s="658">
        <f>IF(Z43=0,0,M48)</f>
        <v>0</v>
      </c>
      <c r="AC43" s="658">
        <f>IF(Z43=0,0,R48)</f>
        <v>0</v>
      </c>
      <c r="AD43" s="661" t="str">
        <f>Texte!A346</f>
        <v xml:space="preserve">      ja</v>
      </c>
      <c r="AE43" s="662">
        <v>1</v>
      </c>
      <c r="AG43" s="47"/>
      <c r="AH43" s="136"/>
      <c r="AK43" s="47"/>
      <c r="AL43" s="44"/>
      <c r="AM43" s="197"/>
      <c r="AN43" s="123"/>
      <c r="AO43" s="123"/>
      <c r="AP43" s="1"/>
      <c r="AQ43" s="1"/>
      <c r="AR43" s="1"/>
      <c r="AS43" s="1"/>
      <c r="AT43" s="1"/>
      <c r="AU43" s="1"/>
      <c r="AV43" s="1"/>
      <c r="AZ43" s="162"/>
    </row>
    <row r="44" spans="1:52" ht="12.75" customHeight="1">
      <c r="A44" s="214"/>
      <c r="B44" s="220" t="str">
        <f>Texte!A127</f>
        <v>Galtkuh</v>
      </c>
      <c r="C44" s="589" t="str">
        <f>Texte!A128</f>
        <v>arbeitsteiliger Produktion</v>
      </c>
      <c r="D44" s="221"/>
      <c r="E44" s="221"/>
      <c r="F44" s="2" t="str">
        <f>IF($B44="","",VLOOKUP($B44,Daten!$B$8:$E$64,2,FALSE))</f>
        <v>1 Stück</v>
      </c>
      <c r="G44" s="93"/>
      <c r="H44" s="95"/>
      <c r="I44" s="95"/>
      <c r="J44" s="531">
        <f t="shared" si="1"/>
        <v>0</v>
      </c>
      <c r="K44" s="531">
        <f>IF($B44="","",IF(EXACT(B44,A$282),VLOOKUP($B44,Daten!$B$8:$E$64,4,FALSE)+(-0.43)*((AB$37-Y$37)/100)+0.58*((AB$38-Y$38)/20),VLOOKUP($B44,Daten!$B$8:$E$64,4,FALSE)))</f>
        <v>40.6</v>
      </c>
      <c r="L44" s="533" t="str">
        <f t="shared" si="0"/>
        <v/>
      </c>
      <c r="M44" s="95"/>
      <c r="N44" s="95"/>
      <c r="O44" s="95"/>
      <c r="P44" s="607"/>
      <c r="Q44" s="609">
        <f>N44*O44</f>
        <v>0</v>
      </c>
      <c r="R44" s="533" t="str">
        <f t="shared" si="3"/>
        <v/>
      </c>
      <c r="S44" s="232"/>
      <c r="V44" s="124"/>
      <c r="W44" s="644"/>
      <c r="X44" s="645"/>
      <c r="Y44" s="646"/>
      <c r="Z44" s="646"/>
      <c r="AA44" s="666">
        <f>SUM(AA42:AA43)</f>
        <v>0</v>
      </c>
      <c r="AB44" s="665">
        <f>SUM(AB42:AB43)</f>
        <v>0</v>
      </c>
      <c r="AC44" s="665">
        <f>SUM(AC42:AC43)</f>
        <v>0</v>
      </c>
      <c r="AD44" s="663" t="str">
        <f>Texte!A347</f>
        <v xml:space="preserve">    nein</v>
      </c>
      <c r="AE44" s="664">
        <v>0</v>
      </c>
      <c r="AG44" s="47"/>
      <c r="AH44" s="136"/>
      <c r="AK44" s="47"/>
      <c r="AL44" s="44"/>
      <c r="AM44" s="197"/>
      <c r="AN44" s="123"/>
      <c r="AO44" s="123"/>
      <c r="AP44" s="1"/>
      <c r="AQ44" s="1"/>
      <c r="AR44" s="1"/>
      <c r="AS44" s="1"/>
      <c r="AT44" s="1"/>
      <c r="AU44" s="1"/>
      <c r="AV44" s="1"/>
      <c r="AZ44" s="162"/>
    </row>
    <row r="45" spans="1:52" ht="12.75" customHeight="1">
      <c r="A45" s="214"/>
      <c r="B45" s="220" t="str">
        <f>Texte!A132</f>
        <v>Jungvieh, bis 160 Tage alt</v>
      </c>
      <c r="C45" s="221"/>
      <c r="D45" s="221"/>
      <c r="E45" s="221"/>
      <c r="F45" s="2" t="str">
        <f>IF($B45="","",VLOOKUP($B45,Daten!$B$8:$E$64,2,FALSE))</f>
        <v>1 Platz</v>
      </c>
      <c r="G45" s="93"/>
      <c r="H45" s="93"/>
      <c r="I45" s="95"/>
      <c r="J45" s="531">
        <f t="shared" si="1"/>
        <v>0</v>
      </c>
      <c r="K45" s="531">
        <f>IF($B45="","",IF(EXACT(B45,A$282),VLOOKUP($B45,Daten!$B$8:$E$64,4,FALSE)+(-0.43)*((AB$37-Y$37)/100)+0.58*((AB$38-Y$38)/20),VLOOKUP($B45,Daten!$B$8:$E$64,4,FALSE)))</f>
        <v>6</v>
      </c>
      <c r="L45" s="533" t="str">
        <f t="shared" si="0"/>
        <v/>
      </c>
      <c r="M45" s="95"/>
      <c r="N45" s="95"/>
      <c r="O45" s="95"/>
      <c r="P45" s="607"/>
      <c r="Q45" s="609">
        <f>N45*O45</f>
        <v>0</v>
      </c>
      <c r="R45" s="533" t="str">
        <f t="shared" si="3"/>
        <v/>
      </c>
      <c r="S45" s="232"/>
      <c r="V45" s="124"/>
      <c r="W45" s="218"/>
      <c r="X45" s="169"/>
      <c r="Y45" s="170"/>
      <c r="Z45" s="170"/>
      <c r="AA45" s="125"/>
      <c r="AB45" s="219"/>
      <c r="AC45" s="126"/>
      <c r="AE45" s="127"/>
      <c r="AG45" s="47"/>
      <c r="AH45" s="136"/>
      <c r="AK45" s="47"/>
      <c r="AL45" s="44"/>
      <c r="AM45" s="197"/>
      <c r="AN45" s="123"/>
      <c r="AO45" s="123"/>
      <c r="AP45" s="1"/>
      <c r="AQ45" s="1"/>
      <c r="AR45" s="1"/>
      <c r="AS45" s="1"/>
      <c r="AT45" s="1"/>
      <c r="AU45" s="1"/>
      <c r="AV45" s="1"/>
      <c r="AZ45" s="162"/>
    </row>
    <row r="46" spans="1:52" ht="12.75" customHeight="1">
      <c r="A46" s="48"/>
      <c r="B46" s="220" t="str">
        <f>Texte!A133</f>
        <v>Jungvieh, 160-365 Tage alt</v>
      </c>
      <c r="C46" s="221"/>
      <c r="D46" s="221"/>
      <c r="E46" s="221"/>
      <c r="F46" s="2" t="str">
        <f>IF($B46="","",VLOOKUP($B46,Daten!$B$8:$E$64,2,FALSE))</f>
        <v>1 Platz</v>
      </c>
      <c r="G46" s="93"/>
      <c r="H46" s="93"/>
      <c r="I46" s="95"/>
      <c r="J46" s="531">
        <f t="shared" si="1"/>
        <v>0</v>
      </c>
      <c r="K46" s="531">
        <f>IF($B46="","",IF(EXACT(B46,A$282),VLOOKUP($B46,Daten!$B$8:$E$64,4,FALSE)+(-0.43)*((AB$37-Y$37)/100)+0.58*((AB$38-Y$38)/20),VLOOKUP($B46,Daten!$B$8:$E$64,4,FALSE)))</f>
        <v>20.2</v>
      </c>
      <c r="L46" s="533" t="str">
        <f t="shared" si="0"/>
        <v/>
      </c>
      <c r="M46" s="95"/>
      <c r="N46" s="95"/>
      <c r="O46" s="95"/>
      <c r="P46" s="607"/>
      <c r="Q46" s="609">
        <f t="shared" si="2"/>
        <v>0</v>
      </c>
      <c r="R46" s="533" t="str">
        <f t="shared" si="3"/>
        <v/>
      </c>
      <c r="S46" s="232"/>
      <c r="V46" s="124"/>
      <c r="W46" s="218"/>
      <c r="X46" s="169"/>
      <c r="Y46" s="170"/>
      <c r="Z46" s="170"/>
      <c r="AA46" s="125"/>
      <c r="AB46" s="219"/>
      <c r="AC46" s="126"/>
      <c r="AE46" s="127"/>
      <c r="AG46" s="47"/>
      <c r="AH46" s="136"/>
      <c r="AK46" s="47"/>
      <c r="AL46" s="44"/>
      <c r="AM46" s="1"/>
      <c r="AN46" s="1"/>
      <c r="AO46" s="1"/>
      <c r="AP46" s="1"/>
      <c r="AQ46" s="1"/>
      <c r="AR46" s="1"/>
      <c r="AS46" s="1"/>
      <c r="AT46" s="1"/>
      <c r="AU46" s="1"/>
    </row>
    <row r="47" spans="1:52" ht="12.75" customHeight="1">
      <c r="A47" s="48"/>
      <c r="B47" s="220" t="str">
        <f>Texte!A134</f>
        <v>Jungvieh, 1 bis 2-jährig</v>
      </c>
      <c r="C47" s="221"/>
      <c r="D47" s="221"/>
      <c r="E47" s="221"/>
      <c r="F47" s="2" t="str">
        <f>IF($B47="","",VLOOKUP($B47,Daten!$B$8:$E$64,2,FALSE))</f>
        <v>1 Platz</v>
      </c>
      <c r="G47" s="93"/>
      <c r="H47" s="95"/>
      <c r="I47" s="95"/>
      <c r="J47" s="531">
        <f t="shared" si="1"/>
        <v>0</v>
      </c>
      <c r="K47" s="531">
        <f>IF($B47="","",IF(EXACT(B47,A$282),VLOOKUP($B47,Daten!$B$8:$E$64,4,FALSE)+(-0.43)*((AB$37-Y$37)/100)+0.58*((AB$38-Y$38)/20),VLOOKUP($B47,Daten!$B$8:$E$64,4,FALSE)))</f>
        <v>26</v>
      </c>
      <c r="L47" s="533" t="str">
        <f t="shared" si="0"/>
        <v/>
      </c>
      <c r="M47" s="95"/>
      <c r="N47" s="95"/>
      <c r="O47" s="95"/>
      <c r="P47" s="607"/>
      <c r="Q47" s="609">
        <f t="shared" si="2"/>
        <v>0</v>
      </c>
      <c r="R47" s="533" t="str">
        <f t="shared" si="3"/>
        <v/>
      </c>
      <c r="S47" s="232"/>
      <c r="V47" s="124"/>
      <c r="W47" s="218"/>
      <c r="X47" s="169"/>
      <c r="Y47" s="642"/>
      <c r="AA47" s="125"/>
      <c r="AB47" s="219"/>
      <c r="AC47" s="126"/>
      <c r="AE47" s="127"/>
      <c r="AG47" s="47"/>
      <c r="AH47" s="136"/>
      <c r="AK47" s="47"/>
      <c r="AL47" s="44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52" ht="12.75" customHeight="1">
      <c r="A48" s="48"/>
      <c r="B48" s="220" t="str">
        <f>Texte!A135</f>
        <v>Jungvieh &gt;2-jährig</v>
      </c>
      <c r="C48" s="221"/>
      <c r="D48" s="221"/>
      <c r="E48" s="221"/>
      <c r="F48" s="2" t="str">
        <f>IF($B48="","",VLOOKUP($B48,Daten!$B$8:$E$64,2,FALSE))</f>
        <v>1 Platz</v>
      </c>
      <c r="G48" s="93"/>
      <c r="H48" s="95"/>
      <c r="I48" s="95"/>
      <c r="J48" s="531">
        <f>IF(I48&gt;365,"!",G48+(H48*I48/365))</f>
        <v>0</v>
      </c>
      <c r="K48" s="531">
        <f>IF($B48="","",IF(EXACT(B48,A$282),VLOOKUP($B48,Daten!$B$8:$E$64,4,FALSE)+(-0.43)*((AB$37-Y$37)/100)+0.58*((AB$38-Y$38)/20),VLOOKUP($B48,Daten!$B$8:$E$64,4,FALSE)))</f>
        <v>33</v>
      </c>
      <c r="L48" s="533" t="str">
        <f t="shared" si="0"/>
        <v/>
      </c>
      <c r="M48" s="95"/>
      <c r="N48" s="95"/>
      <c r="O48" s="95"/>
      <c r="P48" s="607"/>
      <c r="Q48" s="609">
        <f t="shared" si="2"/>
        <v>0</v>
      </c>
      <c r="R48" s="533" t="str">
        <f t="shared" si="3"/>
        <v/>
      </c>
      <c r="S48" s="232"/>
      <c r="V48" s="124"/>
      <c r="W48" s="218"/>
      <c r="X48" s="160"/>
      <c r="AA48" s="125"/>
      <c r="AB48" s="219"/>
      <c r="AC48" s="126"/>
      <c r="AE48" s="127"/>
      <c r="AG48" s="47"/>
      <c r="AH48" s="136"/>
      <c r="AK48" s="47"/>
      <c r="AL48" s="44"/>
      <c r="AM48" s="182"/>
      <c r="AN48" s="1"/>
      <c r="AO48" s="1"/>
      <c r="AP48" s="172"/>
      <c r="AQ48" s="1"/>
      <c r="AR48" s="1"/>
      <c r="AS48" s="1"/>
      <c r="AT48" s="1"/>
      <c r="AU48" s="1"/>
      <c r="AV48" s="1"/>
    </row>
    <row r="49" spans="1:48" ht="12.75" customHeight="1">
      <c r="A49" s="48"/>
      <c r="B49" s="220" t="str">
        <f>Texte!A144</f>
        <v>Zuchtstier</v>
      </c>
      <c r="C49" s="221"/>
      <c r="D49" s="221"/>
      <c r="E49" s="221"/>
      <c r="F49" s="2" t="str">
        <f>IF($B49="","",VLOOKUP($B49,Daten!$B$8:$E$64,2,FALSE))</f>
        <v>1 Stück</v>
      </c>
      <c r="G49" s="93"/>
      <c r="H49" s="95"/>
      <c r="I49" s="95"/>
      <c r="J49" s="531">
        <f t="shared" si="1"/>
        <v>0</v>
      </c>
      <c r="K49" s="531">
        <f>IF($B49="","",IF(EXACT(B49,A$282),VLOOKUP($B49,Daten!$B$8:$E$64,4,FALSE)+(-0.43)*((AB$37-Y$37)/100)+0.58*((AB$38-Y$38)/20),VLOOKUP($B49,Daten!$B$8:$E$64,4,FALSE)))</f>
        <v>30</v>
      </c>
      <c r="L49" s="533" t="str">
        <f t="shared" si="0"/>
        <v/>
      </c>
      <c r="M49" s="95"/>
      <c r="N49" s="95"/>
      <c r="O49" s="95"/>
      <c r="P49" s="607"/>
      <c r="Q49" s="609">
        <f t="shared" si="2"/>
        <v>0</v>
      </c>
      <c r="R49" s="533" t="str">
        <f t="shared" si="3"/>
        <v/>
      </c>
      <c r="S49" s="232"/>
      <c r="V49" s="124"/>
      <c r="AA49" s="125"/>
      <c r="AB49" s="219"/>
      <c r="AC49" s="126"/>
      <c r="AE49" s="127"/>
      <c r="AG49" s="47"/>
      <c r="AH49" s="136"/>
      <c r="AK49" s="47"/>
      <c r="AL49" s="44"/>
      <c r="AM49" s="668"/>
      <c r="AN49" s="669"/>
      <c r="AO49" s="669"/>
      <c r="AP49" s="670"/>
      <c r="AQ49" s="1"/>
      <c r="AR49" s="1"/>
      <c r="AS49" s="1"/>
      <c r="AT49" s="1"/>
      <c r="AU49" s="1"/>
      <c r="AV49" s="1"/>
    </row>
    <row r="50" spans="1:48" ht="12.75" customHeight="1">
      <c r="A50" s="48"/>
      <c r="B50" s="223" t="str">
        <f>Texte!A136</f>
        <v>Mastkälber (50-200 kg)</v>
      </c>
      <c r="C50" s="221"/>
      <c r="D50" s="221"/>
      <c r="E50" s="221"/>
      <c r="F50" s="2" t="str">
        <f>IF($B50="","",VLOOKUP($B50,Daten!$B$8:$E$64,2,FALSE))</f>
        <v>1 Platz</v>
      </c>
      <c r="G50" s="93"/>
      <c r="H50" s="95"/>
      <c r="I50" s="95"/>
      <c r="J50" s="531">
        <f t="shared" si="1"/>
        <v>0</v>
      </c>
      <c r="K50" s="531">
        <f>IF($B50="","",IF(EXACT(B50,A$282),VLOOKUP($B50,Daten!$B$8:$E$64,4,FALSE)+(-0.43)*((AB$37-Y$37)/100)+0.58*((AB$38-Y$38)/20),VLOOKUP($B50,Daten!$B$8:$E$64,4,FALSE)))</f>
        <v>1</v>
      </c>
      <c r="L50" s="533" t="str">
        <f t="shared" si="0"/>
        <v/>
      </c>
      <c r="M50" s="95"/>
      <c r="N50" s="95"/>
      <c r="O50" s="95"/>
      <c r="P50" s="607"/>
      <c r="Q50" s="609">
        <f t="shared" si="2"/>
        <v>0</v>
      </c>
      <c r="R50" s="533" t="str">
        <f t="shared" si="3"/>
        <v/>
      </c>
      <c r="S50" s="232"/>
      <c r="V50" s="124"/>
      <c r="Y50" s="125"/>
      <c r="Z50" s="122"/>
      <c r="AA50" s="125"/>
      <c r="AB50" s="219"/>
      <c r="AC50" s="126"/>
      <c r="AE50" s="127"/>
      <c r="AG50" s="47"/>
      <c r="AH50" s="136"/>
      <c r="AK50" s="47"/>
      <c r="AL50" s="44"/>
      <c r="AM50" s="1"/>
      <c r="AN50" s="1"/>
      <c r="AO50" s="1"/>
      <c r="AP50" s="1"/>
      <c r="AQ50" s="1"/>
      <c r="AR50" s="1"/>
      <c r="AS50" s="1"/>
      <c r="AT50" s="1"/>
      <c r="AU50" s="1"/>
    </row>
    <row r="51" spans="1:48" ht="12.75" customHeight="1">
      <c r="A51" s="48"/>
      <c r="B51" s="223" t="str">
        <f>Texte!A131</f>
        <v>Mutterkühe leicht (LG bis 600 kg)</v>
      </c>
      <c r="C51" s="221"/>
      <c r="D51" s="221"/>
      <c r="E51" s="221"/>
      <c r="F51" s="2" t="str">
        <f>IF($B51="","",VLOOKUP($B51,Daten!$B$8:$E$64,2,FALSE))</f>
        <v>1 Stück</v>
      </c>
      <c r="G51" s="93"/>
      <c r="H51" s="95"/>
      <c r="I51" s="95"/>
      <c r="J51" s="531">
        <f t="shared" si="1"/>
        <v>0</v>
      </c>
      <c r="K51" s="531">
        <f>IF($B51="","",IF(EXACT(B51,A$282),VLOOKUP($B51,Daten!$B$8:$E$64,4,FALSE)+(-0.43)*((AB$37-Y$37)/100)+0.58*((AB$38-Y$38)/20),VLOOKUP($B51,Daten!$B$8:$E$64,4,FALSE)))</f>
        <v>38</v>
      </c>
      <c r="L51" s="533" t="str">
        <f t="shared" si="0"/>
        <v/>
      </c>
      <c r="M51" s="95"/>
      <c r="N51" s="95"/>
      <c r="O51" s="95"/>
      <c r="P51" s="607"/>
      <c r="Q51" s="609">
        <f t="shared" si="2"/>
        <v>0</v>
      </c>
      <c r="R51" s="533" t="str">
        <f t="shared" si="3"/>
        <v/>
      </c>
      <c r="S51" s="232"/>
      <c r="V51" s="124"/>
      <c r="AA51" s="125"/>
      <c r="AB51" s="219"/>
      <c r="AC51" s="126"/>
      <c r="AE51" s="127"/>
      <c r="AG51" s="47"/>
      <c r="AH51" s="136"/>
      <c r="AK51" s="47"/>
      <c r="AL51" s="44"/>
      <c r="AM51" s="1"/>
      <c r="AN51" s="1"/>
      <c r="AO51" s="1"/>
      <c r="AP51" s="1"/>
      <c r="AQ51" s="1"/>
      <c r="AR51" s="1"/>
      <c r="AS51" s="1"/>
      <c r="AT51" s="1"/>
      <c r="AU51" s="1"/>
    </row>
    <row r="52" spans="1:48" ht="12.75" customHeight="1">
      <c r="A52" s="48"/>
      <c r="B52" s="223" t="str">
        <f>Texte!A130</f>
        <v>Mutterkühe mittel (LG 600-700 kg)</v>
      </c>
      <c r="C52" s="221"/>
      <c r="D52" s="221"/>
      <c r="E52" s="221"/>
      <c r="F52" s="2" t="str">
        <f>IF($B52="","",VLOOKUP($B52,Daten!$B$8:$E$64,2,FALSE))</f>
        <v>1 Stück</v>
      </c>
      <c r="G52" s="93"/>
      <c r="H52" s="95"/>
      <c r="I52" s="95"/>
      <c r="J52" s="531">
        <f t="shared" si="1"/>
        <v>0</v>
      </c>
      <c r="K52" s="531">
        <f>IF($B52="","",IF(EXACT(B52,A$282),VLOOKUP($B52,Daten!$B$8:$E$64,4,FALSE)+(-0.43)*((AB$37-Y$37)/100)+0.58*((AB$38-Y$38)/20),VLOOKUP($B52,Daten!$B$8:$E$64,4,FALSE)))</f>
        <v>45</v>
      </c>
      <c r="L52" s="533" t="str">
        <f t="shared" si="0"/>
        <v/>
      </c>
      <c r="M52" s="95"/>
      <c r="N52" s="95"/>
      <c r="O52" s="95"/>
      <c r="P52" s="607"/>
      <c r="Q52" s="609">
        <f t="shared" si="2"/>
        <v>0</v>
      </c>
      <c r="R52" s="533" t="str">
        <f t="shared" si="3"/>
        <v/>
      </c>
      <c r="S52" s="232"/>
      <c r="AA52" s="125"/>
      <c r="AB52" s="219"/>
      <c r="AC52" s="126"/>
      <c r="AE52" s="127"/>
      <c r="AG52" s="47"/>
      <c r="AH52" s="136"/>
      <c r="AK52" s="47"/>
      <c r="AL52" s="44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 customHeight="1">
      <c r="A53" s="48"/>
      <c r="B53" s="223" t="str">
        <f>Texte!A129</f>
        <v>Mutterkühe schwer (LG 700-800 kg)</v>
      </c>
      <c r="C53" s="221"/>
      <c r="D53" s="221"/>
      <c r="E53" s="221"/>
      <c r="F53" s="2" t="str">
        <f>IF($B53="","",VLOOKUP($B53,Daten!$B$8:$E$64,2,FALSE))</f>
        <v>1 Stück</v>
      </c>
      <c r="G53" s="93"/>
      <c r="H53" s="95"/>
      <c r="I53" s="95"/>
      <c r="J53" s="531">
        <f t="shared" si="1"/>
        <v>0</v>
      </c>
      <c r="K53" s="531">
        <f>IF($B53="","",IF(EXACT(B53,A$282),VLOOKUP($B53,Daten!$B$8:$E$64,4,FALSE)+(-0.43)*((AB$37-Y$37)/100)+0.58*((AB$38-Y$38)/20),VLOOKUP($B53,Daten!$B$8:$E$64,4,FALSE)))</f>
        <v>50</v>
      </c>
      <c r="L53" s="533" t="str">
        <f t="shared" si="0"/>
        <v/>
      </c>
      <c r="M53" s="95"/>
      <c r="N53" s="95"/>
      <c r="O53" s="95"/>
      <c r="P53" s="607"/>
      <c r="Q53" s="609">
        <f t="shared" si="2"/>
        <v>0</v>
      </c>
      <c r="R53" s="533" t="str">
        <f t="shared" si="3"/>
        <v/>
      </c>
      <c r="S53" s="232"/>
      <c r="Y53" s="125"/>
      <c r="Z53" s="160"/>
      <c r="AA53" s="125"/>
      <c r="AB53" s="219"/>
      <c r="AC53" s="126"/>
      <c r="AE53" s="127"/>
      <c r="AG53" s="47"/>
      <c r="AH53" s="136"/>
      <c r="AK53" s="47"/>
      <c r="AL53" s="44"/>
      <c r="AM53" s="182"/>
      <c r="AN53" s="1"/>
      <c r="AO53" s="1"/>
      <c r="AP53" s="172"/>
      <c r="AQ53" s="1"/>
      <c r="AR53" s="1"/>
      <c r="AS53" s="1"/>
      <c r="AT53" s="1"/>
      <c r="AU53" s="1"/>
      <c r="AV53" s="1"/>
    </row>
    <row r="54" spans="1:48" ht="12.75" customHeight="1">
      <c r="A54" s="48"/>
      <c r="B54" s="223" t="str">
        <f>Texte!A137</f>
        <v>Mutterkuhkalb, bis 160 Tage alt</v>
      </c>
      <c r="C54" s="221"/>
      <c r="D54" s="221"/>
      <c r="E54" s="221"/>
      <c r="F54" s="2" t="str">
        <f>IF($B54="","",VLOOKUP($B54,Daten!$B$8:$E$64,2,FALSE))</f>
        <v>1 Platz</v>
      </c>
      <c r="G54" s="93"/>
      <c r="H54" s="95"/>
      <c r="I54" s="95"/>
      <c r="J54" s="531">
        <f t="shared" si="1"/>
        <v>0</v>
      </c>
      <c r="K54" s="531">
        <f>IF($B54="","",IF(EXACT(B54,A$282),VLOOKUP($B54,Daten!$B$8:$E$64,4,FALSE)+(-0.43)*((AB$37-Y$37)/100)+0.58*((AB$38-Y$38)/20),VLOOKUP($B54,Daten!$B$8:$E$64,4,FALSE)))</f>
        <v>2.8</v>
      </c>
      <c r="L54" s="533" t="str">
        <f t="shared" si="0"/>
        <v/>
      </c>
      <c r="M54" s="95"/>
      <c r="N54" s="95"/>
      <c r="O54" s="95"/>
      <c r="P54" s="607"/>
      <c r="Q54" s="609">
        <f t="shared" si="2"/>
        <v>0</v>
      </c>
      <c r="R54" s="533" t="str">
        <f t="shared" si="3"/>
        <v/>
      </c>
      <c r="S54" s="232"/>
      <c r="Y54" s="125"/>
      <c r="Z54" s="122"/>
      <c r="AA54" s="125"/>
      <c r="AB54" s="219"/>
      <c r="AC54" s="126"/>
      <c r="AE54" s="127"/>
      <c r="AG54" s="47"/>
      <c r="AH54" s="136"/>
      <c r="AK54" s="47"/>
      <c r="AL54" s="44"/>
      <c r="AM54" s="668"/>
      <c r="AN54" s="669"/>
      <c r="AO54" s="669"/>
      <c r="AP54" s="670"/>
      <c r="AQ54" s="1"/>
      <c r="AR54" s="1"/>
      <c r="AS54" s="1"/>
      <c r="AT54" s="1"/>
      <c r="AU54" s="1"/>
      <c r="AV54" s="1"/>
    </row>
    <row r="55" spans="1:48" ht="12.75" customHeight="1">
      <c r="A55" s="48"/>
      <c r="B55" s="223" t="str">
        <f>Texte!A138</f>
        <v>Mutterkuhkalb, &gt; 160 d, leicht (&lt;200 kg SG)</v>
      </c>
      <c r="C55" s="221"/>
      <c r="D55" s="221"/>
      <c r="E55" s="221"/>
      <c r="F55" s="2" t="str">
        <f>IF($B55="","",VLOOKUP($B55,Daten!$B$8:$E$64,2,FALSE))</f>
        <v>1 Platz</v>
      </c>
      <c r="G55" s="93"/>
      <c r="H55" s="95"/>
      <c r="I55" s="95"/>
      <c r="J55" s="531">
        <f t="shared" si="1"/>
        <v>0</v>
      </c>
      <c r="K55" s="531">
        <f>IF($B55="","",IF(EXACT(B55,A$282),VLOOKUP($B55,Daten!$B$8:$E$64,4,FALSE)+(-0.43)*((AB$37-Y$37)/100)+0.58*((AB$38-Y$38)/20),VLOOKUP($B55,Daten!$B$8:$E$64,4,FALSE)))</f>
        <v>17.8</v>
      </c>
      <c r="L55" s="533" t="str">
        <f t="shared" si="0"/>
        <v/>
      </c>
      <c r="M55" s="95"/>
      <c r="N55" s="95"/>
      <c r="O55" s="95"/>
      <c r="P55" s="607"/>
      <c r="Q55" s="609">
        <f t="shared" si="2"/>
        <v>0</v>
      </c>
      <c r="R55" s="533" t="str">
        <f t="shared" si="3"/>
        <v/>
      </c>
      <c r="S55" s="232"/>
      <c r="Y55" s="125"/>
      <c r="Z55" s="122"/>
      <c r="AA55" s="125"/>
      <c r="AB55" s="219"/>
      <c r="AC55" s="126"/>
      <c r="AE55" s="127"/>
      <c r="AG55" s="47"/>
      <c r="AH55" s="136"/>
      <c r="AK55" s="47"/>
      <c r="AL55" s="44"/>
      <c r="AM55" s="1"/>
      <c r="AN55" s="1"/>
      <c r="AO55" s="1"/>
      <c r="AP55" s="1"/>
      <c r="AQ55" s="1"/>
      <c r="AR55" s="1"/>
      <c r="AS55" s="1"/>
      <c r="AT55" s="1"/>
      <c r="AU55" s="1"/>
    </row>
    <row r="56" spans="1:48" ht="12.75" customHeight="1">
      <c r="A56" s="48"/>
      <c r="B56" s="223" t="str">
        <f>Texte!A139</f>
        <v>Mutterkuhkalb, &gt; 160 d, mittel (200-250 kg SG)</v>
      </c>
      <c r="C56" s="221"/>
      <c r="D56" s="221"/>
      <c r="E56" s="221"/>
      <c r="F56" s="2" t="str">
        <f>IF($B56="","",VLOOKUP($B56,Daten!$B$8:$E$64,2,FALSE))</f>
        <v>1 Platz</v>
      </c>
      <c r="G56" s="93"/>
      <c r="H56" s="95"/>
      <c r="I56" s="95"/>
      <c r="J56" s="531">
        <f t="shared" si="1"/>
        <v>0</v>
      </c>
      <c r="K56" s="531">
        <f>IF($B56="","",IF(EXACT(B56,A$282),VLOOKUP($B56,Daten!$B$8:$E$64,4,FALSE)+(-0.43)*((AB$37-Y$37)/100)+0.58*((AB$38-Y$38)/20),VLOOKUP($B56,Daten!$B$8:$E$64,4,FALSE)))</f>
        <v>18.8</v>
      </c>
      <c r="L56" s="533" t="str">
        <f t="shared" si="0"/>
        <v/>
      </c>
      <c r="M56" s="95"/>
      <c r="N56" s="95"/>
      <c r="O56" s="95"/>
      <c r="P56" s="607"/>
      <c r="Q56" s="609">
        <f t="shared" si="2"/>
        <v>0</v>
      </c>
      <c r="R56" s="533" t="str">
        <f t="shared" si="3"/>
        <v/>
      </c>
      <c r="S56" s="232"/>
      <c r="Y56" s="125"/>
      <c r="Z56" s="160"/>
      <c r="AA56" s="125"/>
      <c r="AB56" s="219"/>
      <c r="AC56" s="126"/>
      <c r="AE56" s="127"/>
      <c r="AG56" s="47"/>
      <c r="AH56" s="136"/>
      <c r="AK56" s="47"/>
      <c r="AL56" s="44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customHeight="1">
      <c r="A57" s="224"/>
      <c r="B57" s="223" t="str">
        <f>Texte!A140</f>
        <v>Mutterkuhkalb, &gt; 160 d, schwer (&gt;250 kg SG)</v>
      </c>
      <c r="C57" s="221"/>
      <c r="D57" s="221"/>
      <c r="E57" s="221"/>
      <c r="F57" s="2" t="str">
        <f>IF($B57="","",VLOOKUP($B57,Daten!$B$8:$E$64,2,FALSE))</f>
        <v>1 Platz</v>
      </c>
      <c r="G57" s="93"/>
      <c r="H57" s="95"/>
      <c r="I57" s="95"/>
      <c r="J57" s="531">
        <f t="shared" si="1"/>
        <v>0</v>
      </c>
      <c r="K57" s="531">
        <f>IF($B57="","",IF(EXACT(B57,A$282),VLOOKUP($B57,Daten!$B$8:$E$64,4,FALSE)+(-0.43)*((AB$37-Y$37)/100)+0.58*((AB$38-Y$38)/20),VLOOKUP($B57,Daten!$B$8:$E$64,4,FALSE)))</f>
        <v>19.7</v>
      </c>
      <c r="L57" s="533" t="str">
        <f t="shared" si="0"/>
        <v/>
      </c>
      <c r="M57" s="95"/>
      <c r="N57" s="95"/>
      <c r="O57" s="95"/>
      <c r="P57" s="607"/>
      <c r="Q57" s="609">
        <f t="shared" si="2"/>
        <v>0</v>
      </c>
      <c r="R57" s="533" t="str">
        <f t="shared" si="3"/>
        <v/>
      </c>
      <c r="S57" s="232"/>
      <c r="Y57" s="125"/>
      <c r="Z57" s="122"/>
      <c r="AA57" s="125"/>
      <c r="AB57" s="219"/>
      <c r="AC57" s="126"/>
      <c r="AE57" s="127"/>
      <c r="AG57" s="47"/>
      <c r="AH57" s="136"/>
      <c r="AK57" s="47"/>
      <c r="AL57" s="44"/>
      <c r="AM57" s="668"/>
      <c r="AN57" s="669"/>
      <c r="AO57" s="669"/>
      <c r="AP57" s="670"/>
      <c r="AQ57" s="1"/>
      <c r="AR57" s="1"/>
      <c r="AS57" s="1"/>
      <c r="AT57" s="1"/>
      <c r="AU57" s="1"/>
      <c r="AV57" s="1"/>
    </row>
    <row r="58" spans="1:48" ht="12.75" customHeight="1">
      <c r="A58" s="224"/>
      <c r="B58" s="673" t="s">
        <v>1303</v>
      </c>
      <c r="C58" s="674"/>
      <c r="D58" s="674"/>
      <c r="E58" s="674"/>
      <c r="F58" s="2" t="str">
        <f>IF($B58="","",VLOOKUP($B58,Daten!$B$8:$E$64,2,FALSE))</f>
        <v>1 Platz</v>
      </c>
      <c r="G58" s="93"/>
      <c r="H58" s="95"/>
      <c r="I58" s="95"/>
      <c r="J58" s="531">
        <f t="shared" si="1"/>
        <v>0</v>
      </c>
      <c r="K58" s="531">
        <f>IF($B58="","",IF(EXACT(B58,A$282),VLOOKUP($B58,Daten!$B$8:$E$64,4,FALSE)+(-0.43)*((AB$37-Y$37)/100)+0.58*((AB$38-Y$38)/20),VLOOKUP($B58,Daten!$B$8:$E$64,4,FALSE)))</f>
        <v>5.2</v>
      </c>
      <c r="L58" s="533" t="str">
        <f t="shared" si="0"/>
        <v/>
      </c>
      <c r="M58" s="95"/>
      <c r="N58" s="95"/>
      <c r="O58" s="95"/>
      <c r="P58" s="607"/>
      <c r="Q58" s="609">
        <f t="shared" si="2"/>
        <v>0</v>
      </c>
      <c r="R58" s="533" t="str">
        <f t="shared" si="3"/>
        <v/>
      </c>
      <c r="S58" s="232"/>
      <c r="Y58" s="218"/>
      <c r="Z58" s="122"/>
      <c r="AA58" s="125"/>
      <c r="AB58" s="219"/>
      <c r="AC58" s="126"/>
      <c r="AE58" s="127"/>
      <c r="AG58" s="47"/>
      <c r="AH58" s="136"/>
      <c r="AK58" s="47"/>
      <c r="AL58" s="44"/>
      <c r="AM58" s="1"/>
      <c r="AN58" s="1"/>
      <c r="AO58" s="1"/>
      <c r="AP58" s="1"/>
      <c r="AQ58" s="1"/>
      <c r="AR58" s="1"/>
      <c r="AS58" s="1"/>
      <c r="AT58" s="1"/>
      <c r="AU58" s="1"/>
    </row>
    <row r="59" spans="1:48" ht="12.75" customHeight="1">
      <c r="A59" s="224"/>
      <c r="B59" s="673" t="s">
        <v>1304</v>
      </c>
      <c r="C59" s="674"/>
      <c r="D59" s="674"/>
      <c r="E59" s="674"/>
      <c r="F59" s="2" t="str">
        <f>IF($B59="","",VLOOKUP($B59,Daten!$B$8:$E$64,2,FALSE))</f>
        <v>1 Platz</v>
      </c>
      <c r="G59" s="93"/>
      <c r="H59" s="95"/>
      <c r="I59" s="95"/>
      <c r="J59" s="531">
        <f t="shared" si="1"/>
        <v>0</v>
      </c>
      <c r="K59" s="531">
        <f>IF($B59="","",IF(EXACT(B59,A$282),VLOOKUP($B59,Daten!$B$8:$E$64,4,FALSE)+(-0.43)*((AB$37-Y$37)/100)+0.58*((AB$38-Y$38)/20),VLOOKUP($B59,Daten!$B$8:$E$64,4,FALSE)))</f>
        <v>21</v>
      </c>
      <c r="L59" s="533" t="str">
        <f t="shared" si="0"/>
        <v/>
      </c>
      <c r="M59" s="95"/>
      <c r="N59" s="95"/>
      <c r="O59" s="95"/>
      <c r="P59" s="607"/>
      <c r="Q59" s="609">
        <f t="shared" si="2"/>
        <v>0</v>
      </c>
      <c r="R59" s="533" t="str">
        <f t="shared" si="3"/>
        <v/>
      </c>
      <c r="S59" s="232"/>
      <c r="W59" s="218"/>
      <c r="X59" s="169"/>
      <c r="Y59" s="170"/>
      <c r="Z59" s="170"/>
      <c r="AA59" s="125"/>
      <c r="AB59" s="219"/>
      <c r="AC59" s="126"/>
      <c r="AE59" s="127"/>
      <c r="AG59" s="47"/>
      <c r="AH59" s="136"/>
      <c r="AK59" s="47"/>
      <c r="AL59" s="44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customHeight="1">
      <c r="A60" s="224"/>
      <c r="B60" s="673" t="s">
        <v>82</v>
      </c>
      <c r="C60" s="674"/>
      <c r="D60" s="674"/>
      <c r="E60" s="674"/>
      <c r="F60" s="2" t="str">
        <f>IF($B60="","",VLOOKUP($B60,Daten!$B$8:$E$64,2,FALSE))</f>
        <v>1 Platz</v>
      </c>
      <c r="G60" s="93"/>
      <c r="H60" s="95"/>
      <c r="I60" s="95"/>
      <c r="J60" s="531">
        <f>IF(OR(AND(H60&lt;0,G60&lt;ABS(H60)),I60&gt;365),"!",G60+(H60*I60/365))</f>
        <v>0</v>
      </c>
      <c r="K60" s="531">
        <f>IF($B60="","",IF(EXACT(B60,A$282),VLOOKUP($B60,Daten!$B$8:$E$64,4,FALSE)+(-0.43)*((AB$37-Y$37)/100)+0.58*((AB$38-Y$38)/20),VLOOKUP($B60,Daten!$B$8:$E$64,4,FALSE)))</f>
        <v>24</v>
      </c>
      <c r="L60" s="533" t="str">
        <f t="shared" si="0"/>
        <v/>
      </c>
      <c r="M60" s="95"/>
      <c r="N60" s="95"/>
      <c r="O60" s="95"/>
      <c r="P60" s="608"/>
      <c r="Q60" s="609">
        <f t="shared" si="2"/>
        <v>0</v>
      </c>
      <c r="R60" s="533" t="str">
        <f t="shared" si="3"/>
        <v/>
      </c>
      <c r="S60" s="232"/>
      <c r="T60" s="163"/>
      <c r="V60" s="124"/>
      <c r="AA60" s="125"/>
      <c r="AB60" s="219"/>
      <c r="AC60" s="126"/>
      <c r="AE60" s="127"/>
      <c r="AG60" s="47"/>
      <c r="AH60" s="136"/>
      <c r="AK60" s="47"/>
      <c r="AL60" s="1"/>
      <c r="AM60" s="182"/>
      <c r="AN60" s="1"/>
      <c r="AO60" s="1"/>
      <c r="AP60" s="172"/>
      <c r="AQ60" s="1"/>
      <c r="AR60" s="1"/>
      <c r="AS60" s="1"/>
      <c r="AT60" s="1"/>
      <c r="AU60" s="1"/>
      <c r="AV60" s="1"/>
    </row>
    <row r="61" spans="1:48" ht="12.75" customHeight="1">
      <c r="A61" s="224"/>
      <c r="B61" s="225" t="str">
        <f>Texte!A146</f>
        <v>weitere Raufutterverzehrende Tiere</v>
      </c>
      <c r="C61" s="226"/>
      <c r="D61" s="226"/>
      <c r="E61" s="226"/>
      <c r="F61" s="66"/>
      <c r="G61" s="67"/>
      <c r="H61" s="68"/>
      <c r="I61" s="68"/>
      <c r="J61" s="212"/>
      <c r="K61" s="69"/>
      <c r="L61" s="227"/>
      <c r="M61" s="66"/>
      <c r="N61" s="68"/>
      <c r="O61" s="227"/>
      <c r="P61" s="227"/>
      <c r="Q61" s="227"/>
      <c r="R61" s="227"/>
      <c r="S61" s="66"/>
      <c r="T61" s="348"/>
      <c r="V61" s="124"/>
      <c r="AA61" s="125"/>
      <c r="AB61" s="219"/>
      <c r="AC61" s="126"/>
      <c r="AE61" s="127"/>
      <c r="AG61" s="47"/>
      <c r="AH61" s="136"/>
      <c r="AK61" s="47"/>
      <c r="AL61" s="1"/>
      <c r="AM61" s="182"/>
      <c r="AN61" s="1"/>
      <c r="AO61" s="1"/>
      <c r="AP61" s="172"/>
      <c r="AQ61" s="1"/>
      <c r="AR61" s="1"/>
      <c r="AS61" s="1"/>
      <c r="AT61" s="1"/>
      <c r="AU61" s="1"/>
      <c r="AV61" s="1"/>
    </row>
    <row r="62" spans="1:48" ht="12.75" customHeight="1">
      <c r="A62" s="48"/>
      <c r="B62" s="600" t="str">
        <f>Texte!A156</f>
        <v>Milchziege</v>
      </c>
      <c r="C62" s="216"/>
      <c r="D62" s="419" t="str">
        <f>Texte!A123</f>
        <v>Ø Milchprod. kg/Jahr</v>
      </c>
      <c r="E62" s="217"/>
      <c r="F62" s="2" t="str">
        <f>IF($B62="","",VLOOKUP($B62,Daten!$B$8:$E$64,2,FALSE))</f>
        <v>1 Platz</v>
      </c>
      <c r="G62" s="93"/>
      <c r="H62" s="95"/>
      <c r="I62" s="95"/>
      <c r="J62" s="531">
        <f>IF(OR(AND(H62&lt;0,G62&lt;ABS(H62)),I62&gt;365),"!",G62+(H62*I62/365))</f>
        <v>0</v>
      </c>
      <c r="K62" s="531">
        <f>IF($B62="","",VLOOKUP($B62,Daten!$B$8:$E$64,4,FALSE)+(E62-550)/25*0.03)</f>
        <v>5.54</v>
      </c>
      <c r="L62" s="533" t="str">
        <f t="shared" ref="L62:L67" si="4">IF(J62&gt;0,J62*K62,"")</f>
        <v/>
      </c>
      <c r="M62" s="95"/>
      <c r="N62" s="95"/>
      <c r="O62" s="95"/>
      <c r="P62" s="611"/>
      <c r="Q62" s="609">
        <f t="shared" si="2"/>
        <v>0</v>
      </c>
      <c r="R62" s="533" t="str">
        <f t="shared" ref="R62:R67" si="5">IF($N62=0,"",$K62*$Q62/365)</f>
        <v/>
      </c>
      <c r="S62" s="95"/>
      <c r="T62" s="476" t="str">
        <f>IF(S62=0,"",IF(S62&gt;N62*O62*AC33/100,Texte!A190,""))</f>
        <v/>
      </c>
      <c r="V62" s="124"/>
      <c r="W62" s="218"/>
      <c r="X62" s="160"/>
      <c r="Y62" s="160"/>
      <c r="Z62" s="160"/>
      <c r="AA62" s="125"/>
      <c r="AB62" s="219"/>
      <c r="AC62" s="126"/>
      <c r="AE62" s="127"/>
      <c r="AG62" s="47"/>
      <c r="AH62" s="136"/>
      <c r="AK62" s="47"/>
      <c r="AL62" s="1"/>
      <c r="AM62" s="668"/>
      <c r="AN62" s="669"/>
      <c r="AO62" s="669"/>
      <c r="AP62" s="670"/>
      <c r="AQ62" s="1"/>
      <c r="AR62" s="1"/>
      <c r="AS62" s="1"/>
      <c r="AT62" s="1"/>
      <c r="AU62" s="1"/>
      <c r="AV62" s="1"/>
    </row>
    <row r="63" spans="1:48" ht="12.75" customHeight="1">
      <c r="A63" s="48"/>
      <c r="B63" s="637" t="str">
        <f>Texte!A152</f>
        <v xml:space="preserve">Milchschaf </v>
      </c>
      <c r="C63" s="216"/>
      <c r="D63" s="419" t="str">
        <f>Texte!A123</f>
        <v>Ø Milchprod. kg/Jahr</v>
      </c>
      <c r="E63" s="222"/>
      <c r="F63" s="2" t="str">
        <f>IF($B63="","",VLOOKUP($B63,Daten!$B$8:$E$64,2,FALSE))</f>
        <v>1 Platz</v>
      </c>
      <c r="G63" s="93"/>
      <c r="H63" s="95"/>
      <c r="I63" s="95"/>
      <c r="J63" s="531">
        <f t="shared" si="1"/>
        <v>0</v>
      </c>
      <c r="K63" s="531">
        <f>IF($B63="","",VLOOKUP($B63,Daten!$B$8:$E$64,4,FALSE)+(E63-500)/25*0.2)</f>
        <v>5.3000000000000007</v>
      </c>
      <c r="L63" s="533" t="str">
        <f t="shared" si="4"/>
        <v/>
      </c>
      <c r="M63" s="95"/>
      <c r="N63" s="95"/>
      <c r="O63" s="95"/>
      <c r="P63" s="612"/>
      <c r="Q63" s="609">
        <f t="shared" si="2"/>
        <v>0</v>
      </c>
      <c r="R63" s="533" t="str">
        <f t="shared" si="5"/>
        <v/>
      </c>
      <c r="S63" s="95"/>
      <c r="T63" s="476" t="str">
        <f>IF(S63=0,"",IF(S63&gt;N63*O63*AC34/100,Texte!A190,""))</f>
        <v/>
      </c>
      <c r="V63" s="128"/>
      <c r="W63" s="128"/>
      <c r="X63" s="160"/>
      <c r="Y63" s="128"/>
      <c r="Z63" s="128"/>
      <c r="AA63" s="125"/>
      <c r="AB63" s="219"/>
      <c r="AC63" s="126"/>
      <c r="AE63" s="127"/>
      <c r="AG63" s="129"/>
      <c r="AH63" s="228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8" ht="12.75" customHeight="1">
      <c r="A64" s="48"/>
      <c r="B64" s="673"/>
      <c r="C64" s="674"/>
      <c r="D64" s="674"/>
      <c r="E64" s="674"/>
      <c r="F64" s="2" t="str">
        <f>IF($B64="","",VLOOKUP($B64,Daten!$B$8:$E$64,2,FALSE))</f>
        <v/>
      </c>
      <c r="G64" s="93"/>
      <c r="H64" s="95"/>
      <c r="I64" s="95"/>
      <c r="J64" s="531">
        <f t="shared" si="1"/>
        <v>0</v>
      </c>
      <c r="K64" s="531" t="str">
        <f>IF($B64="","",VLOOKUP($B64,Daten!$B$8:$E$64,4,FALSE))</f>
        <v/>
      </c>
      <c r="L64" s="533" t="str">
        <f t="shared" si="4"/>
        <v/>
      </c>
      <c r="M64" s="95"/>
      <c r="N64" s="95"/>
      <c r="O64" s="95"/>
      <c r="P64" s="607"/>
      <c r="Q64" s="609">
        <f t="shared" si="2"/>
        <v>0</v>
      </c>
      <c r="R64" s="533" t="str">
        <f t="shared" si="5"/>
        <v/>
      </c>
      <c r="S64" s="232"/>
      <c r="T64" s="378"/>
      <c r="V64" s="128"/>
      <c r="W64" s="128"/>
      <c r="X64" s="160"/>
      <c r="Y64" s="128"/>
      <c r="Z64" s="128"/>
      <c r="AA64" s="125"/>
      <c r="AB64" s="219"/>
      <c r="AC64" s="126"/>
      <c r="AE64" s="127"/>
      <c r="AG64" s="129"/>
      <c r="AH64" s="22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>
      <c r="A65" s="48"/>
      <c r="B65" s="673"/>
      <c r="C65" s="674"/>
      <c r="D65" s="674"/>
      <c r="E65" s="674"/>
      <c r="F65" s="2" t="str">
        <f>IF($B65="","",VLOOKUP($B65,Daten!$B$8:$E$64,2,FALSE))</f>
        <v/>
      </c>
      <c r="G65" s="93"/>
      <c r="H65" s="95"/>
      <c r="I65" s="95"/>
      <c r="J65" s="531">
        <f t="shared" si="1"/>
        <v>0</v>
      </c>
      <c r="K65" s="531" t="str">
        <f>IF($B65="","",VLOOKUP($B65,Daten!$B$8:$E$64,4,FALSE))</f>
        <v/>
      </c>
      <c r="L65" s="533" t="str">
        <f t="shared" si="4"/>
        <v/>
      </c>
      <c r="M65" s="95"/>
      <c r="N65" s="95"/>
      <c r="O65" s="95"/>
      <c r="P65" s="607"/>
      <c r="Q65" s="609">
        <f t="shared" si="2"/>
        <v>0</v>
      </c>
      <c r="R65" s="533" t="str">
        <f t="shared" si="5"/>
        <v/>
      </c>
      <c r="S65" s="232"/>
      <c r="T65" s="378"/>
      <c r="V65" s="128"/>
      <c r="W65" s="128"/>
      <c r="X65" s="160"/>
      <c r="Y65" s="128"/>
      <c r="Z65" s="128"/>
      <c r="AA65" s="125"/>
      <c r="AB65" s="219"/>
      <c r="AC65" s="126"/>
      <c r="AE65" s="127"/>
      <c r="AG65" s="129"/>
      <c r="AH65" s="228"/>
      <c r="AL65" s="1"/>
      <c r="AM65" s="182"/>
      <c r="AN65" s="1"/>
      <c r="AO65" s="1"/>
      <c r="AP65" s="172"/>
      <c r="AQ65" s="1"/>
      <c r="AR65" s="1"/>
      <c r="AS65" s="1"/>
      <c r="AT65" s="1"/>
      <c r="AU65" s="1"/>
      <c r="AV65" s="1"/>
    </row>
    <row r="66" spans="1:48" ht="12.75" customHeight="1">
      <c r="A66" s="48"/>
      <c r="B66" s="673"/>
      <c r="C66" s="674"/>
      <c r="D66" s="674"/>
      <c r="E66" s="674"/>
      <c r="F66" s="2" t="str">
        <f>IF($B66="","",VLOOKUP($B66,Daten!$B$8:$E$64,2,FALSE))</f>
        <v/>
      </c>
      <c r="G66" s="93"/>
      <c r="H66" s="95"/>
      <c r="I66" s="95"/>
      <c r="J66" s="531">
        <f t="shared" si="1"/>
        <v>0</v>
      </c>
      <c r="K66" s="531" t="str">
        <f>IF($B66="","",VLOOKUP($B66,Daten!$B$8:$E$64,4,FALSE))</f>
        <v/>
      </c>
      <c r="L66" s="533" t="str">
        <f t="shared" si="4"/>
        <v/>
      </c>
      <c r="M66" s="95"/>
      <c r="N66" s="95"/>
      <c r="O66" s="95"/>
      <c r="P66" s="607"/>
      <c r="Q66" s="609">
        <f t="shared" si="2"/>
        <v>0</v>
      </c>
      <c r="R66" s="533" t="str">
        <f t="shared" si="5"/>
        <v/>
      </c>
      <c r="S66" s="232"/>
      <c r="T66" s="378"/>
      <c r="V66" s="128"/>
      <c r="W66" s="128"/>
      <c r="X66" s="160"/>
      <c r="Y66" s="128"/>
      <c r="Z66" s="128"/>
      <c r="AA66" s="125"/>
      <c r="AB66" s="219"/>
      <c r="AC66" s="126"/>
      <c r="AE66" s="127"/>
      <c r="AG66" s="129"/>
      <c r="AH66" s="228"/>
      <c r="AL66" s="1"/>
      <c r="AM66" s="668"/>
      <c r="AN66" s="669"/>
      <c r="AO66" s="669"/>
      <c r="AP66" s="670"/>
      <c r="AQ66" s="1"/>
      <c r="AR66" s="1"/>
      <c r="AS66" s="1"/>
      <c r="AT66" s="1"/>
      <c r="AU66" s="1"/>
      <c r="AV66" s="1"/>
    </row>
    <row r="67" spans="1:48" ht="12.75" customHeight="1">
      <c r="A67" s="48"/>
      <c r="B67" s="675"/>
      <c r="C67" s="676"/>
      <c r="D67" s="676"/>
      <c r="E67" s="676"/>
      <c r="F67" s="56" t="str">
        <f>IF($B67="","",VLOOKUP($B67,Daten!$B$8:$E$64,2,FALSE))</f>
        <v/>
      </c>
      <c r="G67" s="97"/>
      <c r="H67" s="504"/>
      <c r="I67" s="504"/>
      <c r="J67" s="532">
        <f>IF(OR(AND(H67&lt;0,G67&lt;ABS(H67)),I67&gt;365),"!",G67+(H67*I67/365))</f>
        <v>0</v>
      </c>
      <c r="K67" s="532" t="str">
        <f>IF($B67="","",VLOOKUP($B67,Daten!$B$8:$E$64,4,FALSE))</f>
        <v/>
      </c>
      <c r="L67" s="534" t="str">
        <f t="shared" si="4"/>
        <v/>
      </c>
      <c r="M67" s="95"/>
      <c r="N67" s="504"/>
      <c r="O67" s="504"/>
      <c r="P67" s="608"/>
      <c r="Q67" s="610">
        <f t="shared" si="2"/>
        <v>0</v>
      </c>
      <c r="R67" s="533" t="str">
        <f t="shared" si="5"/>
        <v/>
      </c>
      <c r="S67" s="234"/>
      <c r="T67" s="378"/>
      <c r="V67" s="128"/>
      <c r="W67" s="128"/>
      <c r="Y67" s="128"/>
      <c r="AA67" s="125"/>
      <c r="AB67" s="219"/>
      <c r="AC67" s="126"/>
      <c r="AE67" s="127"/>
      <c r="AG67" s="129"/>
      <c r="AH67" s="228"/>
      <c r="AL67" s="1"/>
      <c r="AM67" s="197"/>
      <c r="AN67" s="123"/>
      <c r="AO67" s="123"/>
      <c r="AP67" s="1"/>
      <c r="AQ67" s="1"/>
      <c r="AR67" s="1"/>
      <c r="AS67" s="1"/>
      <c r="AT67" s="1"/>
      <c r="AU67" s="1"/>
      <c r="AV67" s="1"/>
    </row>
    <row r="68" spans="1:48" ht="12.75" customHeight="1">
      <c r="A68" s="48"/>
      <c r="B68" s="184"/>
      <c r="C68" s="235"/>
      <c r="D68" s="235"/>
      <c r="E68" s="235"/>
      <c r="I68" s="236"/>
      <c r="J68" s="237"/>
      <c r="K68" s="238"/>
      <c r="L68" s="239">
        <f>SUM(L41:L67)</f>
        <v>0</v>
      </c>
      <c r="M68" s="240">
        <f>SUM(M41:M67)</f>
        <v>0</v>
      </c>
      <c r="N68" s="494"/>
      <c r="O68" s="238"/>
      <c r="P68" s="238"/>
      <c r="Q68" s="238"/>
      <c r="R68" s="240">
        <f>SUM(R41:R67)</f>
        <v>0</v>
      </c>
      <c r="S68" s="240">
        <f>SUM(S41:S67)</f>
        <v>0</v>
      </c>
      <c r="T68" s="378"/>
      <c r="V68" s="128"/>
      <c r="W68" s="128"/>
      <c r="X68" s="168"/>
      <c r="Y68" s="128"/>
      <c r="AA68" s="125"/>
      <c r="AB68" s="219"/>
      <c r="AC68" s="126"/>
      <c r="AE68" s="127"/>
      <c r="AG68" s="129"/>
      <c r="AH68" s="228"/>
      <c r="AL68" s="1"/>
      <c r="AM68" s="197"/>
      <c r="AN68" s="123"/>
      <c r="AO68" s="123"/>
      <c r="AP68" s="1"/>
      <c r="AQ68" s="1"/>
      <c r="AR68" s="1"/>
      <c r="AS68" s="1"/>
      <c r="AT68" s="1"/>
      <c r="AU68" s="1"/>
      <c r="AV68" s="1"/>
    </row>
    <row r="69" spans="1:48" ht="12.75" customHeight="1">
      <c r="A69" s="48"/>
      <c r="B69" s="614" t="str">
        <f>Texte!A170</f>
        <v>übrige Tierkategorien mit GF-Verzehr</v>
      </c>
      <c r="C69" s="497"/>
      <c r="D69" s="497"/>
      <c r="E69" s="497"/>
      <c r="F69" s="205"/>
      <c r="G69" s="498"/>
      <c r="H69" s="499"/>
      <c r="I69" s="499"/>
      <c r="J69" s="500"/>
      <c r="K69" s="501"/>
      <c r="L69" s="502"/>
      <c r="M69" s="205"/>
      <c r="N69" s="500"/>
      <c r="O69" s="501"/>
      <c r="P69" s="501"/>
      <c r="Q69" s="502"/>
      <c r="R69" s="205"/>
      <c r="S69" s="205"/>
      <c r="V69" s="128"/>
      <c r="W69" s="128"/>
      <c r="X69" s="160"/>
      <c r="AA69" s="125"/>
      <c r="AB69" s="219"/>
      <c r="AC69" s="126"/>
      <c r="AE69" s="127"/>
      <c r="AG69" s="129"/>
      <c r="AH69" s="228"/>
      <c r="AL69" s="1"/>
      <c r="AM69" s="197"/>
      <c r="AN69" s="123"/>
      <c r="AO69" s="123"/>
      <c r="AP69" s="1"/>
      <c r="AQ69" s="1"/>
      <c r="AR69" s="1"/>
      <c r="AS69" s="1"/>
      <c r="AT69" s="1"/>
      <c r="AU69" s="1"/>
      <c r="AV69" s="1"/>
    </row>
    <row r="70" spans="1:48" ht="12.75" customHeight="1">
      <c r="A70" s="48"/>
      <c r="B70" s="495"/>
      <c r="C70" s="496"/>
      <c r="D70" s="496"/>
      <c r="E70" s="496"/>
      <c r="F70" s="177"/>
      <c r="G70" s="177"/>
      <c r="H70" s="163"/>
      <c r="J70" s="178"/>
      <c r="K70" s="179" t="str">
        <f>Texte!A99</f>
        <v>Grundfutter-</v>
      </c>
      <c r="L70" s="180"/>
      <c r="M70" s="179" t="str">
        <f>Texte!A171</f>
        <v>davon Wiesen-</v>
      </c>
      <c r="N70" s="231"/>
      <c r="O70" s="231"/>
      <c r="P70" s="508"/>
      <c r="Q70" s="509"/>
      <c r="R70" s="231"/>
      <c r="S70" s="231"/>
      <c r="V70" s="128"/>
      <c r="W70" s="128"/>
      <c r="X70" s="160"/>
      <c r="Z70" s="128"/>
      <c r="AA70" s="125"/>
      <c r="AB70" s="219"/>
      <c r="AC70" s="126"/>
      <c r="AE70" s="127"/>
      <c r="AG70" s="129"/>
      <c r="AH70" s="228"/>
      <c r="AL70" s="1"/>
      <c r="AM70" s="197"/>
      <c r="AN70" s="123"/>
      <c r="AO70" s="123"/>
      <c r="AP70" s="1"/>
      <c r="AQ70" s="1"/>
      <c r="AR70" s="1"/>
      <c r="AS70" s="1"/>
      <c r="AT70" s="1"/>
      <c r="AU70" s="1"/>
      <c r="AV70" s="1"/>
    </row>
    <row r="71" spans="1:48" ht="12.75" customHeight="1">
      <c r="A71" s="48"/>
      <c r="B71" s="495"/>
      <c r="C71" s="496"/>
      <c r="D71" s="496"/>
      <c r="E71" s="496"/>
      <c r="F71" s="186"/>
      <c r="H71" s="187" t="str">
        <f>Texte!A92</f>
        <v>Abzug /</v>
      </c>
      <c r="I71" s="188"/>
      <c r="J71" s="189" t="str">
        <f>Texte!A96</f>
        <v>Anzahl</v>
      </c>
      <c r="K71" s="190" t="str">
        <f>Texte!A100</f>
        <v>verzehr</v>
      </c>
      <c r="L71" s="191"/>
      <c r="M71" s="192" t="str">
        <f>Texte!A172</f>
        <v>&amp; Weidefutter</v>
      </c>
      <c r="N71" s="232"/>
      <c r="O71" s="232"/>
      <c r="P71" s="510"/>
      <c r="Q71" s="511"/>
      <c r="R71" s="232"/>
      <c r="S71" s="232"/>
      <c r="V71" s="128"/>
      <c r="W71" s="128"/>
      <c r="X71" s="160"/>
      <c r="Z71" s="128"/>
      <c r="AA71" s="125"/>
      <c r="AB71" s="219"/>
      <c r="AC71" s="126"/>
      <c r="AE71" s="127"/>
      <c r="AG71" s="129"/>
      <c r="AH71" s="228"/>
      <c r="AL71" s="1"/>
      <c r="AM71" s="197"/>
      <c r="AN71" s="123"/>
      <c r="AO71" s="123"/>
      <c r="AP71" s="1"/>
      <c r="AQ71" s="1"/>
      <c r="AR71" s="1"/>
      <c r="AS71" s="1"/>
      <c r="AT71" s="1"/>
      <c r="AU71" s="1"/>
      <c r="AV71" s="1"/>
    </row>
    <row r="72" spans="1:48" ht="12.75" customHeight="1">
      <c r="A72" s="48"/>
      <c r="B72" s="495"/>
      <c r="C72" s="496"/>
      <c r="D72" s="496"/>
      <c r="E72" s="496"/>
      <c r="F72" s="186" t="str">
        <f>Texte!A90</f>
        <v>Einheit</v>
      </c>
      <c r="G72" s="186" t="str">
        <f>Texte!A91</f>
        <v>Anzahl</v>
      </c>
      <c r="H72" s="187" t="str">
        <f>Texte!A93</f>
        <v>Zuschlag</v>
      </c>
      <c r="I72" s="199"/>
      <c r="J72" s="189" t="str">
        <f>Texte!A97</f>
        <v>korri-</v>
      </c>
      <c r="K72" s="200" t="str">
        <f>Texte!A104</f>
        <v>dt TS</v>
      </c>
      <c r="L72" s="200" t="str">
        <f>Texte!A104</f>
        <v>dt TS</v>
      </c>
      <c r="M72" s="503" t="str">
        <f>Texte!A104</f>
        <v>dt TS</v>
      </c>
      <c r="N72" s="232"/>
      <c r="O72" s="232"/>
      <c r="P72" s="510"/>
      <c r="Q72" s="511"/>
      <c r="R72" s="232"/>
      <c r="S72" s="232"/>
      <c r="V72" s="128"/>
      <c r="W72" s="128"/>
      <c r="X72" s="168" t="s">
        <v>1197</v>
      </c>
      <c r="Z72" s="128" t="s">
        <v>1198</v>
      </c>
      <c r="AA72" s="125"/>
      <c r="AB72" s="219"/>
      <c r="AC72" s="126"/>
      <c r="AE72" s="127"/>
      <c r="AG72" s="129"/>
      <c r="AH72" s="228"/>
      <c r="AL72" s="1"/>
      <c r="AM72" s="197"/>
      <c r="AN72" s="123"/>
      <c r="AO72" s="123"/>
      <c r="AP72" s="1"/>
      <c r="AQ72" s="1"/>
      <c r="AR72" s="1"/>
      <c r="AS72" s="1"/>
      <c r="AT72" s="1"/>
      <c r="AU72" s="1"/>
      <c r="AV72" s="1"/>
    </row>
    <row r="73" spans="1:48" ht="12.75" customHeight="1">
      <c r="A73" s="48"/>
      <c r="B73" s="495"/>
      <c r="C73" s="496"/>
      <c r="D73" s="496"/>
      <c r="E73" s="496"/>
      <c r="F73" s="206"/>
      <c r="G73" s="206"/>
      <c r="H73" s="206" t="str">
        <f>Texte!A94</f>
        <v>± Tiere</v>
      </c>
      <c r="I73" s="28" t="str">
        <f>Texte!A95</f>
        <v>Tage</v>
      </c>
      <c r="J73" s="536" t="str">
        <f>Texte!A98</f>
        <v>giert</v>
      </c>
      <c r="K73" s="207" t="str">
        <f>Texte!A101</f>
        <v>pro Jahr</v>
      </c>
      <c r="L73" s="207" t="str">
        <f>Texte!A103</f>
        <v>total</v>
      </c>
      <c r="M73" s="320" t="str">
        <f>Texte!A103</f>
        <v>total</v>
      </c>
      <c r="N73" s="232"/>
      <c r="O73" s="232"/>
      <c r="P73" s="510"/>
      <c r="Q73" s="511"/>
      <c r="R73" s="232"/>
      <c r="S73" s="232"/>
      <c r="V73" s="128"/>
      <c r="W73" s="128"/>
      <c r="X73" s="160"/>
      <c r="Z73" s="623" t="s">
        <v>1324</v>
      </c>
      <c r="AA73" s="623" t="s">
        <v>1325</v>
      </c>
      <c r="AB73" s="219"/>
      <c r="AC73" s="126"/>
      <c r="AE73" s="127"/>
      <c r="AG73" s="129"/>
      <c r="AH73" s="228"/>
      <c r="AL73" s="1"/>
      <c r="AM73" s="197"/>
      <c r="AN73" s="123"/>
      <c r="AO73" s="123"/>
      <c r="AP73" s="1"/>
      <c r="AQ73" s="1"/>
      <c r="AR73" s="1"/>
      <c r="AS73" s="1"/>
      <c r="AT73" s="1"/>
      <c r="AU73" s="1"/>
      <c r="AV73" s="1"/>
    </row>
    <row r="74" spans="1:48" ht="12.75" customHeight="1">
      <c r="A74" s="48"/>
      <c r="B74" s="600" t="str">
        <f>Texte!A175</f>
        <v>Strausse &gt; 13 Monate</v>
      </c>
      <c r="C74" s="613"/>
      <c r="D74" s="613"/>
      <c r="E74" s="613"/>
      <c r="F74" s="52" t="str">
        <f>IF($B74="","",VLOOKUP($B74,Daten!$B$8:$E$64,2,FALSE))</f>
        <v>1 Stück</v>
      </c>
      <c r="G74" s="96"/>
      <c r="H74" s="379"/>
      <c r="I74" s="379"/>
      <c r="J74" s="537">
        <f t="shared" si="1"/>
        <v>0</v>
      </c>
      <c r="K74" s="537">
        <f>IF($B74="","",VLOOKUP($B74,Daten!$B$8:$E$64,4,FALSE))</f>
        <v>11</v>
      </c>
      <c r="L74" s="539" t="str">
        <f t="shared" ref="L74:L81" si="6">IF(J74&gt;0,J74*K74,"")</f>
        <v/>
      </c>
      <c r="M74" s="95" t="str">
        <f>L74</f>
        <v/>
      </c>
      <c r="N74" s="232"/>
      <c r="O74" s="232"/>
      <c r="P74" s="510"/>
      <c r="Q74" s="511"/>
      <c r="R74" s="232"/>
      <c r="S74" s="232"/>
      <c r="V74" s="128"/>
      <c r="W74" s="128"/>
      <c r="X74" s="128" t="str">
        <f>Daten!B55</f>
        <v>Mastschweineplatz / Remonten (26-108 kg)</v>
      </c>
      <c r="Z74" s="160">
        <v>0</v>
      </c>
      <c r="AA74" s="160">
        <v>0.34</v>
      </c>
      <c r="AB74" s="219"/>
      <c r="AC74" s="126"/>
      <c r="AE74" s="127"/>
      <c r="AG74" s="129"/>
      <c r="AH74" s="228"/>
      <c r="AL74" s="1"/>
      <c r="AM74" s="197"/>
      <c r="AN74" s="123"/>
      <c r="AO74" s="123"/>
      <c r="AP74" s="1"/>
      <c r="AQ74" s="1"/>
      <c r="AR74" s="1"/>
      <c r="AS74" s="1"/>
      <c r="AT74" s="1"/>
      <c r="AU74" s="1"/>
      <c r="AV74" s="1"/>
    </row>
    <row r="75" spans="1:48" ht="12.75" customHeight="1">
      <c r="A75" s="48"/>
      <c r="B75" s="229" t="str">
        <f>Texte!A176</f>
        <v>Strausse bis 13 Monate</v>
      </c>
      <c r="C75" s="230"/>
      <c r="D75" s="230"/>
      <c r="E75" s="230"/>
      <c r="F75" s="52" t="str">
        <f>IF($B75="","",VLOOKUP($B75,Daten!$B$8:$E$64,2,FALSE))</f>
        <v>1 Stück</v>
      </c>
      <c r="G75" s="96"/>
      <c r="H75" s="380"/>
      <c r="I75" s="380"/>
      <c r="J75" s="537">
        <f t="shared" si="1"/>
        <v>0</v>
      </c>
      <c r="K75" s="537">
        <f>IF($B75="","",VLOOKUP($B75,Daten!$B$8:$E$64,4,FALSE))</f>
        <v>2</v>
      </c>
      <c r="L75" s="539" t="str">
        <f t="shared" si="6"/>
        <v/>
      </c>
      <c r="M75" s="95" t="str">
        <f>L75</f>
        <v/>
      </c>
      <c r="N75" s="232"/>
      <c r="O75" s="232"/>
      <c r="P75" s="510"/>
      <c r="Q75" s="511"/>
      <c r="R75" s="232"/>
      <c r="S75" s="232"/>
      <c r="V75" s="128"/>
      <c r="W75" s="128"/>
      <c r="X75" s="128" t="str">
        <f>Daten!B56</f>
        <v>Mastschweine / Remonten (26-108 kg)</v>
      </c>
      <c r="Z75" s="160">
        <v>0.5</v>
      </c>
      <c r="AA75" s="160">
        <v>0.5</v>
      </c>
      <c r="AB75" s="219"/>
      <c r="AC75" s="126"/>
      <c r="AE75" s="127"/>
      <c r="AG75" s="129"/>
      <c r="AH75" s="228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8" ht="12.75" customHeight="1">
      <c r="A76" s="48"/>
      <c r="B76" s="229" t="str">
        <f>Texte!A173</f>
        <v>Kaninchen, Zibben inkl. Jungtiere bis 35 d</v>
      </c>
      <c r="C76" s="230"/>
      <c r="D76" s="230"/>
      <c r="E76" s="230"/>
      <c r="F76" s="52" t="str">
        <f>IF($B76="","",VLOOKUP($B76,Daten!$B$8:$E$64,2,FALSE))</f>
        <v>1 Stück</v>
      </c>
      <c r="G76" s="96"/>
      <c r="H76" s="380"/>
      <c r="I76" s="380"/>
      <c r="J76" s="537">
        <f t="shared" si="1"/>
        <v>0</v>
      </c>
      <c r="K76" s="537">
        <f>IF($B76="","",VLOOKUP($B76,Daten!$B$8:$E$64,4,FALSE))</f>
        <v>0.36</v>
      </c>
      <c r="L76" s="539" t="str">
        <f t="shared" si="6"/>
        <v/>
      </c>
      <c r="M76" s="95" t="str">
        <f>L76</f>
        <v/>
      </c>
      <c r="N76" s="232"/>
      <c r="O76" s="232"/>
      <c r="P76" s="510"/>
      <c r="Q76" s="511"/>
      <c r="R76" s="232"/>
      <c r="S76" s="232"/>
      <c r="V76" s="128"/>
      <c r="W76" s="128"/>
      <c r="X76" s="128" t="str">
        <f>Daten!B57</f>
        <v>Zuchtschweine inkl. Ferkel bis 26 kg</v>
      </c>
      <c r="Z76" s="160">
        <v>0.5</v>
      </c>
      <c r="AA76" s="160">
        <v>6.5</v>
      </c>
      <c r="AB76" s="219"/>
      <c r="AC76" s="126"/>
      <c r="AE76" s="127"/>
      <c r="AG76" s="129"/>
      <c r="AH76" s="22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>
      <c r="A77" s="48"/>
      <c r="B77" s="229" t="str">
        <f>Texte!A174</f>
        <v>Kaninchen, Jungtiere ab ca 35 Tagen</v>
      </c>
      <c r="C77" s="233"/>
      <c r="D77" s="233"/>
      <c r="E77" s="233"/>
      <c r="F77" s="52" t="str">
        <f>IF($B77="","",VLOOKUP($B77,Daten!$B$8:$E$64,2,FALSE))</f>
        <v>100 Pl.</v>
      </c>
      <c r="G77" s="93"/>
      <c r="H77" s="380"/>
      <c r="I77" s="380"/>
      <c r="J77" s="537">
        <f t="shared" si="1"/>
        <v>0</v>
      </c>
      <c r="K77" s="537">
        <f>IF($B77="","",VLOOKUP($B77,Daten!$B$8:$E$64,4,FALSE))</f>
        <v>4</v>
      </c>
      <c r="L77" s="540" t="str">
        <f t="shared" si="6"/>
        <v/>
      </c>
      <c r="M77" s="95" t="str">
        <f>L77</f>
        <v/>
      </c>
      <c r="N77" s="232"/>
      <c r="O77" s="232"/>
      <c r="P77" s="510"/>
      <c r="Q77" s="511"/>
      <c r="R77" s="232"/>
      <c r="S77" s="232"/>
      <c r="V77" s="128"/>
      <c r="W77" s="128"/>
      <c r="X77" s="128" t="str">
        <f>Daten!B58</f>
        <v>Galtsauenplatz, 2.94 Umtriebe</v>
      </c>
      <c r="Z77" s="160">
        <v>0.5</v>
      </c>
      <c r="AA77" s="160">
        <v>9</v>
      </c>
      <c r="AB77" s="219"/>
      <c r="AC77" s="126"/>
      <c r="AE77" s="127"/>
      <c r="AF77" s="122"/>
      <c r="AG77" s="129"/>
      <c r="AH77" s="228"/>
      <c r="AI77" s="159"/>
      <c r="AJ77" s="159"/>
      <c r="AK77" s="159"/>
      <c r="AL77" s="44"/>
      <c r="AM77" s="182"/>
      <c r="AN77" s="1"/>
      <c r="AO77" s="1"/>
      <c r="AP77" s="172"/>
      <c r="AQ77" s="1"/>
      <c r="AR77" s="1"/>
      <c r="AS77" s="1"/>
      <c r="AT77" s="1"/>
      <c r="AU77" s="1"/>
      <c r="AV77" s="1"/>
    </row>
    <row r="78" spans="1:48" ht="12.75" customHeight="1">
      <c r="A78" s="48"/>
      <c r="B78" s="673" t="s">
        <v>128</v>
      </c>
      <c r="C78" s="674"/>
      <c r="D78" s="674"/>
      <c r="E78" s="674"/>
      <c r="F78" s="2" t="str">
        <f>IF($B78="","",VLOOKUP($B78,Daten!$B$8:$E$64,2,FALSE))</f>
        <v>1 Platz</v>
      </c>
      <c r="G78" s="93"/>
      <c r="H78" s="380"/>
      <c r="I78" s="380"/>
      <c r="J78" s="537">
        <f t="shared" si="1"/>
        <v>0</v>
      </c>
      <c r="K78" s="624">
        <v>0</v>
      </c>
      <c r="L78" s="535" t="str">
        <f t="shared" si="6"/>
        <v/>
      </c>
      <c r="M78" s="95"/>
      <c r="N78" s="557" t="str">
        <f>IF(M78&gt;L78,Texte!A$189,"")</f>
        <v/>
      </c>
      <c r="O78" s="232"/>
      <c r="P78" s="510"/>
      <c r="Q78" s="511"/>
      <c r="R78" s="232"/>
      <c r="S78" s="232"/>
      <c r="T78" s="476" t="str">
        <f>IF($B78="","",IF(AND($K78&gt;VLOOKUP($B78,X$74:AA$81,3),$K78&lt;=VLOOKUP($B78,X$74:AA$81,4)),Texte!$A$187,IF($K78&lt;=VLOOKUP($B78,X$74:AA$81,3),"",Texte!$A$188)))</f>
        <v/>
      </c>
      <c r="V78" s="128"/>
      <c r="W78" s="128"/>
      <c r="X78" s="128" t="str">
        <f>Daten!B59</f>
        <v>Galtsauen, pro Umtrieb</v>
      </c>
      <c r="Z78" s="160">
        <v>0.5</v>
      </c>
      <c r="AA78" s="160">
        <v>9</v>
      </c>
      <c r="AB78" s="219"/>
      <c r="AC78" s="126"/>
      <c r="AE78" s="127"/>
      <c r="AF78" s="122"/>
      <c r="AG78" s="129"/>
      <c r="AH78" s="228"/>
      <c r="AI78" s="159"/>
      <c r="AJ78" s="159"/>
      <c r="AK78" s="159"/>
      <c r="AL78" s="44"/>
      <c r="AM78" s="668"/>
      <c r="AN78" s="669"/>
      <c r="AO78" s="669"/>
      <c r="AP78" s="670"/>
      <c r="AQ78" s="1"/>
      <c r="AR78" s="1"/>
      <c r="AS78" s="1"/>
      <c r="AT78" s="1"/>
      <c r="AU78" s="1"/>
      <c r="AV78" s="1"/>
    </row>
    <row r="79" spans="1:48" ht="12.75" customHeight="1">
      <c r="A79" s="48"/>
      <c r="B79" s="673" t="s">
        <v>139</v>
      </c>
      <c r="C79" s="674"/>
      <c r="D79" s="674"/>
      <c r="E79" s="674"/>
      <c r="F79" s="2" t="str">
        <f>IF($B79="","",VLOOKUP($B79,Daten!$B$8:$E$64,2,FALSE))</f>
        <v>1 Platz</v>
      </c>
      <c r="G79" s="93"/>
      <c r="H79" s="380"/>
      <c r="I79" s="380"/>
      <c r="J79" s="537">
        <f t="shared" si="1"/>
        <v>0</v>
      </c>
      <c r="K79" s="624">
        <v>0</v>
      </c>
      <c r="L79" s="535" t="str">
        <f t="shared" si="6"/>
        <v/>
      </c>
      <c r="M79" s="95"/>
      <c r="N79" s="557" t="str">
        <f>IF(M79&gt;L79,Texte!A$189,"")</f>
        <v/>
      </c>
      <c r="O79" s="232"/>
      <c r="P79" s="510"/>
      <c r="Q79" s="511"/>
      <c r="R79" s="232"/>
      <c r="S79" s="232"/>
      <c r="T79" s="476" t="str">
        <f>IF($B79="","",IF(AND($K79&gt;VLOOKUP($B79,X$74:AA$81,3),$K79&lt;=VLOOKUP($B79,X$74:AA$81,4)),Texte!$A$187,IF($K79&lt;=VLOOKUP($B79,X$74:AA$81,3),"",Texte!$A$188)))</f>
        <v/>
      </c>
      <c r="V79" s="128"/>
      <c r="W79" s="128"/>
      <c r="X79" s="128" t="str">
        <f>Daten!B60</f>
        <v>Zuchtschweine, säugend, 9.86 Umtriebe</v>
      </c>
      <c r="Z79" s="160">
        <v>0.5</v>
      </c>
      <c r="AA79" s="160">
        <v>6.5</v>
      </c>
      <c r="AB79" s="122"/>
      <c r="AC79" s="219"/>
      <c r="AF79" s="122"/>
      <c r="AG79" s="129"/>
      <c r="AH79" s="228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8" ht="12.75" customHeight="1">
      <c r="A80" s="48"/>
      <c r="B80" s="673" t="s">
        <v>655</v>
      </c>
      <c r="C80" s="674"/>
      <c r="D80" s="674"/>
      <c r="E80" s="674"/>
      <c r="F80" s="2" t="str">
        <f>IF($B80="","",VLOOKUP($B80,Daten!$B$8:$E$64,2,FALSE))</f>
        <v>1 Stück</v>
      </c>
      <c r="G80" s="93"/>
      <c r="H80" s="380"/>
      <c r="I80" s="380"/>
      <c r="J80" s="537">
        <f t="shared" si="1"/>
        <v>0</v>
      </c>
      <c r="K80" s="624">
        <v>0</v>
      </c>
      <c r="L80" s="535" t="str">
        <f t="shared" si="6"/>
        <v/>
      </c>
      <c r="M80" s="95"/>
      <c r="N80" s="557" t="str">
        <f>IF(M80&gt;L80,Texte!A$189,"")</f>
        <v/>
      </c>
      <c r="O80" s="232"/>
      <c r="P80" s="510"/>
      <c r="Q80" s="511"/>
      <c r="R80" s="232"/>
      <c r="S80" s="232"/>
      <c r="T80" s="476" t="str">
        <f>IF($B80="","",IF(AND($K80&gt;VLOOKUP($B80,X$74:AA$81,3),$K80&lt;=VLOOKUP($B80,X$74:AA$81,4)),Texte!$A$187,IF($K80&lt;=VLOOKUP($B80,X$74:AA$81,3),"",Texte!$A$188)))</f>
        <v/>
      </c>
      <c r="V80" s="128"/>
      <c r="W80" s="128"/>
      <c r="X80" s="128" t="str">
        <f>Daten!B61</f>
        <v>Zuchtschweine, säugend, pro Umtrieb</v>
      </c>
      <c r="Z80" s="160">
        <v>0.5</v>
      </c>
      <c r="AA80" s="160">
        <v>6.5</v>
      </c>
      <c r="AB80" s="122"/>
      <c r="AC80" s="219"/>
      <c r="AG80" s="129"/>
      <c r="AH80" s="22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9" ht="12.75" customHeight="1">
      <c r="A81" s="224"/>
      <c r="B81" s="673" t="s">
        <v>122</v>
      </c>
      <c r="C81" s="674"/>
      <c r="D81" s="674"/>
      <c r="E81" s="674"/>
      <c r="F81" s="56" t="str">
        <f>IF($B81="","",VLOOKUP($B81,Daten!$B$8:$E$64,2,FALSE))</f>
        <v>1 Platz</v>
      </c>
      <c r="G81" s="97"/>
      <c r="H81" s="381"/>
      <c r="I81" s="381"/>
      <c r="J81" s="538">
        <f t="shared" si="1"/>
        <v>0</v>
      </c>
      <c r="K81" s="625">
        <v>0</v>
      </c>
      <c r="L81" s="541" t="str">
        <f t="shared" si="6"/>
        <v/>
      </c>
      <c r="M81" s="95"/>
      <c r="N81" s="558" t="str">
        <f>IF(M81&gt;L81,Texte!A$189,"")</f>
        <v/>
      </c>
      <c r="O81" s="234"/>
      <c r="P81" s="512"/>
      <c r="Q81" s="272"/>
      <c r="R81" s="234"/>
      <c r="S81" s="234"/>
      <c r="T81" s="476" t="str">
        <f>IF($B81="","",IF(AND($K81&gt;VLOOKUP($B81,X$74:AA$81,3),$K81&lt;=VLOOKUP($B81,X$74:AA$81,4)),Texte!$A$187,IF($K81&lt;=VLOOKUP($B81,X$74:AA$81,3),"",Texte!$A$188)))</f>
        <v/>
      </c>
      <c r="V81" s="128"/>
      <c r="W81" s="128"/>
      <c r="X81" s="128" t="str">
        <f>Daten!B62</f>
        <v>Zuchteber</v>
      </c>
      <c r="Z81" s="160">
        <v>0.5</v>
      </c>
      <c r="AA81" s="160">
        <v>6.5</v>
      </c>
      <c r="AB81" s="122"/>
      <c r="AC81" s="219"/>
      <c r="AG81" s="129"/>
      <c r="AH81" s="228"/>
      <c r="AL81" s="1"/>
      <c r="AM81" s="182"/>
      <c r="AN81" s="1"/>
      <c r="AO81" s="1"/>
      <c r="AP81" s="172"/>
      <c r="AQ81" s="1"/>
      <c r="AR81" s="1"/>
      <c r="AS81" s="1"/>
      <c r="AT81" s="1"/>
      <c r="AU81" s="1"/>
      <c r="AV81" s="1"/>
    </row>
    <row r="82" spans="1:49" ht="12.75" customHeight="1">
      <c r="A82" s="185"/>
      <c r="C82" s="235"/>
      <c r="D82" s="235"/>
      <c r="E82" s="235"/>
      <c r="I82" s="236"/>
      <c r="J82" s="237"/>
      <c r="K82" s="238"/>
      <c r="L82" s="239">
        <f>SUM(L74:L81)</f>
        <v>0</v>
      </c>
      <c r="M82" s="240">
        <f>SUM(M74:M81)</f>
        <v>0</v>
      </c>
      <c r="N82" s="494"/>
      <c r="O82" s="238"/>
      <c r="P82" s="238"/>
      <c r="Q82" s="238"/>
      <c r="R82" s="238"/>
      <c r="S82" s="238"/>
      <c r="T82" s="236"/>
      <c r="U82" s="236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L82" s="1"/>
      <c r="AM82" s="668"/>
      <c r="AN82" s="669"/>
      <c r="AO82" s="669"/>
      <c r="AP82" s="670"/>
      <c r="AQ82" s="1"/>
      <c r="AR82" s="1"/>
      <c r="AS82" s="1"/>
      <c r="AT82" s="1"/>
      <c r="AU82" s="1"/>
      <c r="AV82" s="1"/>
    </row>
    <row r="83" spans="1:49" ht="8.1" customHeight="1">
      <c r="B83" s="235"/>
      <c r="C83" s="235"/>
      <c r="D83" s="235"/>
      <c r="E83" s="235"/>
      <c r="I83" s="236"/>
      <c r="J83" s="237"/>
      <c r="K83" s="237"/>
      <c r="L83" s="241"/>
      <c r="M83" s="127"/>
      <c r="N83" s="236"/>
      <c r="O83" s="236"/>
      <c r="P83" s="236"/>
      <c r="Q83" s="236"/>
      <c r="R83" s="238"/>
      <c r="S83" s="238"/>
      <c r="T83" s="236"/>
      <c r="U83" s="236"/>
      <c r="V83" s="236"/>
      <c r="W83" s="236"/>
      <c r="X83" s="236"/>
      <c r="Y83" s="236"/>
      <c r="Z83" s="236"/>
      <c r="AA83" s="236"/>
      <c r="AB83" s="47"/>
      <c r="AE83" s="127"/>
      <c r="AF83" s="47"/>
      <c r="AH83" s="127"/>
      <c r="AI83" s="47"/>
      <c r="AL83" s="136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9" ht="12.75" customHeight="1">
      <c r="B84" s="185" t="str">
        <f>Texte!A191</f>
        <v>Ganzjahresbetrieb</v>
      </c>
      <c r="C84" s="235"/>
      <c r="D84" s="235"/>
      <c r="E84" s="235"/>
      <c r="I84" s="236"/>
      <c r="J84" s="237"/>
      <c r="K84" s="237"/>
      <c r="L84" s="241"/>
      <c r="M84" s="127"/>
      <c r="N84" s="236"/>
      <c r="O84" s="236"/>
      <c r="P84" s="236"/>
      <c r="Q84" s="236"/>
      <c r="R84" s="236"/>
      <c r="S84" s="236"/>
      <c r="T84" s="236"/>
      <c r="U84" s="236"/>
      <c r="V84" s="129"/>
      <c r="W84" s="129"/>
      <c r="X84" s="129"/>
      <c r="Y84" s="129"/>
      <c r="Z84" s="129"/>
      <c r="AA84" s="129"/>
      <c r="AB84" s="129"/>
      <c r="AC84" s="129"/>
      <c r="AD84" s="129"/>
      <c r="AE84" s="127"/>
      <c r="AF84" s="47"/>
      <c r="AH84" s="127"/>
      <c r="AI84" s="47"/>
      <c r="AL84" s="136"/>
      <c r="AM84" s="1"/>
      <c r="AN84" s="182"/>
      <c r="AO84" s="1"/>
      <c r="AP84" s="1"/>
      <c r="AQ84" s="172"/>
      <c r="AR84" s="1"/>
      <c r="AS84" s="1"/>
      <c r="AT84" s="1"/>
      <c r="AU84" s="1"/>
      <c r="AV84" s="1"/>
      <c r="AW84" s="1"/>
    </row>
    <row r="85" spans="1:49" ht="12.75" customHeight="1">
      <c r="B85" s="185" t="str">
        <f>Texte!A192</f>
        <v>A1: Grundfutterverzehr aller Tiere</v>
      </c>
      <c r="C85" s="235"/>
      <c r="D85" s="235"/>
      <c r="E85" s="235"/>
      <c r="I85" s="236"/>
      <c r="J85" s="237"/>
      <c r="K85" s="237"/>
      <c r="L85" s="542">
        <f>L82+L68</f>
        <v>0</v>
      </c>
      <c r="M85" s="236" t="str">
        <f>Texte!A104</f>
        <v>dt TS</v>
      </c>
      <c r="N85" s="236"/>
      <c r="O85" s="236"/>
      <c r="P85" s="236"/>
      <c r="Q85" s="236"/>
      <c r="R85" s="236"/>
      <c r="S85" s="236"/>
      <c r="T85" s="236"/>
      <c r="U85" s="236"/>
      <c r="V85" s="129"/>
      <c r="W85" s="129"/>
      <c r="X85" s="129"/>
      <c r="Y85" s="129"/>
      <c r="Z85" s="129"/>
      <c r="AA85" s="129"/>
      <c r="AB85" s="129"/>
      <c r="AC85" s="129"/>
      <c r="AD85" s="129"/>
      <c r="AE85" s="127"/>
      <c r="AF85" s="242"/>
      <c r="AH85" s="243"/>
      <c r="AI85" s="47"/>
      <c r="AJ85" s="244"/>
      <c r="AL85" s="13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>
      <c r="B86" s="185" t="str">
        <f>Texte!A193</f>
        <v>A2: Grundfutterverzehr Raufutterverzehrer</v>
      </c>
      <c r="C86" s="235"/>
      <c r="D86" s="235"/>
      <c r="E86" s="235"/>
      <c r="I86" s="236"/>
      <c r="J86" s="237"/>
      <c r="K86" s="237"/>
      <c r="L86" s="542">
        <f>SUM(L41:L60,L62:L67)</f>
        <v>0</v>
      </c>
      <c r="M86" s="236" t="str">
        <f>Texte!A104</f>
        <v>dt TS</v>
      </c>
      <c r="N86" s="236"/>
      <c r="O86" s="236"/>
      <c r="P86" s="236"/>
      <c r="Q86" s="236"/>
      <c r="R86" s="236"/>
      <c r="S86" s="236"/>
      <c r="T86" s="236"/>
      <c r="U86" s="236"/>
      <c r="V86" s="129"/>
      <c r="W86" s="129"/>
      <c r="X86" s="130"/>
      <c r="Y86" s="129"/>
      <c r="Z86" s="129"/>
      <c r="AA86" s="129"/>
      <c r="AB86" s="129"/>
      <c r="AC86" s="129"/>
      <c r="AD86" s="129"/>
      <c r="AE86" s="127"/>
      <c r="AF86" s="242"/>
      <c r="AH86" s="243"/>
      <c r="AI86" s="47"/>
      <c r="AJ86" s="244"/>
      <c r="AL86" s="13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>
      <c r="B87" s="185" t="str">
        <f>Texte!A194</f>
        <v>A3: Wiesen-/Weidefutterverzehr übrige Tiere</v>
      </c>
      <c r="C87" s="235"/>
      <c r="D87" s="235"/>
      <c r="E87" s="235"/>
      <c r="I87" s="236"/>
      <c r="J87" s="237"/>
      <c r="K87" s="237"/>
      <c r="L87" s="542">
        <f>M82</f>
        <v>0</v>
      </c>
      <c r="M87" s="236" t="str">
        <f>Texte!A104</f>
        <v>dt TS</v>
      </c>
      <c r="N87" s="236"/>
      <c r="O87" s="236"/>
      <c r="P87" s="236"/>
      <c r="Q87" s="236"/>
      <c r="R87" s="236"/>
      <c r="S87" s="236"/>
      <c r="T87" s="236"/>
      <c r="U87" s="236"/>
      <c r="V87" s="129"/>
      <c r="W87" s="129"/>
      <c r="X87" s="130"/>
      <c r="Y87" s="129"/>
      <c r="Z87" s="129"/>
      <c r="AA87" s="129"/>
      <c r="AB87" s="129"/>
      <c r="AC87" s="129"/>
      <c r="AD87" s="129"/>
      <c r="AE87" s="127"/>
      <c r="AF87" s="242"/>
      <c r="AH87" s="243"/>
      <c r="AI87" s="47"/>
      <c r="AJ87" s="244"/>
      <c r="AL87" s="13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>
      <c r="B88" s="185" t="str">
        <f>Texte!A195</f>
        <v>A4: Kraftfutterverzehr der berechtigten Kategorien</v>
      </c>
      <c r="C88" s="235"/>
      <c r="D88" s="235"/>
      <c r="E88" s="235"/>
      <c r="I88" s="236"/>
      <c r="J88" s="237"/>
      <c r="K88" s="237"/>
      <c r="L88" s="241"/>
      <c r="M88" s="127"/>
      <c r="N88" s="542">
        <f>M68</f>
        <v>0</v>
      </c>
      <c r="O88" s="236" t="str">
        <f>Texte!A102</f>
        <v>dt FS</v>
      </c>
      <c r="P88" s="236"/>
      <c r="Q88" s="126"/>
      <c r="R88" s="126"/>
      <c r="S88" s="126"/>
      <c r="T88" s="126"/>
      <c r="V88" s="129"/>
      <c r="W88" s="129"/>
      <c r="X88" s="129"/>
      <c r="Y88" s="129"/>
      <c r="Z88" s="129"/>
      <c r="AA88" s="129"/>
      <c r="AB88" s="129"/>
      <c r="AC88" s="129"/>
      <c r="AD88" s="129"/>
      <c r="AE88" s="127"/>
      <c r="AF88" s="47"/>
      <c r="AH88" s="127"/>
      <c r="AI88" s="47"/>
      <c r="AL88" s="13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>
      <c r="B89" s="185" t="str">
        <f>Texte!A196</f>
        <v>A5: Gesamtverzehr der Raufutterverzehrer</v>
      </c>
      <c r="C89" s="185"/>
      <c r="D89" s="185"/>
      <c r="E89" s="185"/>
      <c r="H89" s="236"/>
      <c r="I89" s="237"/>
      <c r="J89" s="237"/>
      <c r="K89" s="241"/>
      <c r="L89" s="245"/>
      <c r="M89" s="246"/>
      <c r="N89" s="542">
        <f>L86+(N88*0.88)</f>
        <v>0</v>
      </c>
      <c r="O89" s="236" t="str">
        <f>Texte!A104</f>
        <v>dt TS</v>
      </c>
      <c r="P89" s="236"/>
      <c r="Q89" s="126"/>
      <c r="R89" s="126"/>
      <c r="S89" s="126"/>
      <c r="T89" s="126"/>
      <c r="V89" s="129"/>
      <c r="W89" s="129"/>
      <c r="X89" s="129"/>
      <c r="Y89" s="129"/>
      <c r="Z89" s="129"/>
      <c r="AA89" s="129"/>
      <c r="AB89" s="129"/>
      <c r="AC89" s="129"/>
      <c r="AD89" s="12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9" ht="12.75" customHeight="1">
      <c r="B90" s="185"/>
      <c r="C90" s="185"/>
      <c r="D90" s="185"/>
      <c r="E90" s="185"/>
      <c r="H90" s="236"/>
      <c r="I90" s="237"/>
      <c r="J90" s="237"/>
      <c r="K90" s="241"/>
      <c r="L90" s="245"/>
      <c r="M90" s="246"/>
      <c r="N90" s="473"/>
      <c r="O90" s="236"/>
      <c r="P90" s="236"/>
      <c r="Q90" s="126"/>
      <c r="R90" s="126"/>
      <c r="S90" s="126"/>
      <c r="T90" s="126"/>
      <c r="V90" s="129"/>
      <c r="W90" s="129"/>
      <c r="X90" s="129"/>
      <c r="Y90" s="129"/>
      <c r="Z90" s="129"/>
      <c r="AA90" s="129"/>
      <c r="AB90" s="129"/>
      <c r="AC90" s="129"/>
      <c r="AD90" s="12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9" ht="12.75" customHeight="1">
      <c r="B91" s="185" t="str">
        <f>Texte!A197</f>
        <v>Sömmerung</v>
      </c>
      <c r="C91" s="185"/>
      <c r="D91" s="185"/>
      <c r="E91" s="185"/>
      <c r="H91" s="236"/>
      <c r="I91" s="237"/>
      <c r="J91" s="237"/>
      <c r="K91" s="241"/>
      <c r="L91" s="245"/>
      <c r="M91" s="246"/>
      <c r="N91" s="473"/>
      <c r="O91" s="236"/>
      <c r="P91" s="236"/>
      <c r="Q91" s="126"/>
      <c r="R91" s="126"/>
      <c r="S91" s="126"/>
      <c r="T91" s="126"/>
      <c r="V91" s="129"/>
      <c r="W91" s="129"/>
      <c r="X91" s="129"/>
      <c r="Y91" s="129"/>
      <c r="Z91" s="129"/>
      <c r="AA91" s="129"/>
      <c r="AB91" s="129"/>
      <c r="AC91" s="129"/>
      <c r="AD91" s="12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9" ht="12.75" customHeight="1">
      <c r="B92" s="185" t="str">
        <f>Texte!A198</f>
        <v>A6: Grundfutterverzehr Raufutterverzehrer</v>
      </c>
      <c r="C92" s="185"/>
      <c r="D92" s="185"/>
      <c r="E92" s="185"/>
      <c r="H92" s="236"/>
      <c r="I92" s="237"/>
      <c r="J92" s="237"/>
      <c r="K92" s="241"/>
      <c r="L92" s="542">
        <f>SUM(R41:R67)</f>
        <v>0</v>
      </c>
      <c r="M92" s="236" t="str">
        <f>Texte!A104</f>
        <v>dt TS</v>
      </c>
      <c r="N92" s="473"/>
      <c r="O92" s="236"/>
      <c r="P92" s="236"/>
      <c r="Q92" s="126"/>
      <c r="R92" s="126"/>
      <c r="S92" s="126"/>
      <c r="T92" s="126"/>
      <c r="V92" s="129"/>
      <c r="W92" s="129"/>
      <c r="X92" s="129"/>
      <c r="Y92" s="129"/>
      <c r="Z92" s="129"/>
      <c r="AA92" s="129"/>
      <c r="AB92" s="129"/>
      <c r="AC92" s="129"/>
      <c r="AD92" s="12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9" ht="12.75" customHeight="1">
      <c r="B93" s="185" t="str">
        <f>Texte!A199</f>
        <v>A7: Kraftfutterverzehr berechtigte Kategorien</v>
      </c>
      <c r="C93" s="185"/>
      <c r="D93" s="185"/>
      <c r="E93" s="185"/>
      <c r="H93" s="236"/>
      <c r="I93" s="237"/>
      <c r="J93" s="237"/>
      <c r="K93" s="241"/>
      <c r="L93" s="245"/>
      <c r="M93" s="246"/>
      <c r="N93" s="542">
        <f>SUM(S41:S67)*0.88</f>
        <v>0</v>
      </c>
      <c r="O93" s="236" t="str">
        <f>Texte!A104</f>
        <v>dt TS</v>
      </c>
      <c r="P93" s="236"/>
      <c r="Q93" s="126"/>
      <c r="R93" s="126"/>
      <c r="S93" s="126"/>
      <c r="T93" s="126"/>
      <c r="V93" s="129"/>
      <c r="W93" s="129"/>
      <c r="X93" s="129"/>
      <c r="Y93" s="129"/>
      <c r="Z93" s="129"/>
      <c r="AA93" s="129"/>
      <c r="AB93" s="129"/>
      <c r="AC93" s="129"/>
      <c r="AD93" s="12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9" ht="12.75" customHeight="1">
      <c r="B94" s="185" t="str">
        <f>Texte!A200</f>
        <v>A8: Sömmerungstage gemäss AniCalc (TVD-Auszug)</v>
      </c>
      <c r="C94" s="185"/>
      <c r="D94" s="185"/>
      <c r="E94" s="185"/>
      <c r="H94" s="236"/>
      <c r="I94" s="237"/>
      <c r="J94" s="237"/>
      <c r="K94" s="241"/>
      <c r="L94" s="245"/>
      <c r="M94" s="246"/>
      <c r="N94" s="473"/>
      <c r="O94" s="236"/>
      <c r="P94" s="236"/>
      <c r="Q94" s="126"/>
      <c r="R94" s="542">
        <f>SUM(Q41:Q60)</f>
        <v>0</v>
      </c>
      <c r="S94" s="494" t="str">
        <f>Texte!A114</f>
        <v>Tage</v>
      </c>
      <c r="T94" s="126"/>
      <c r="V94" s="129"/>
      <c r="W94" s="129"/>
      <c r="X94" s="129"/>
      <c r="Y94" s="129"/>
      <c r="Z94" s="129"/>
      <c r="AA94" s="129"/>
      <c r="AB94" s="129"/>
      <c r="AC94" s="129"/>
      <c r="AD94" s="12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9" ht="11.45" customHeight="1">
      <c r="B95" s="185"/>
      <c r="C95" s="185"/>
      <c r="D95" s="185"/>
      <c r="E95" s="185"/>
      <c r="H95" s="236"/>
      <c r="I95" s="237"/>
      <c r="J95" s="237"/>
      <c r="K95" s="241"/>
      <c r="L95" s="245"/>
      <c r="M95" s="246"/>
      <c r="N95" s="126"/>
      <c r="O95" s="126"/>
      <c r="P95" s="126"/>
      <c r="Q95" s="126"/>
      <c r="R95" s="126"/>
      <c r="S95" s="126"/>
      <c r="T95" s="126"/>
      <c r="U95" s="236"/>
      <c r="V95" s="129"/>
      <c r="W95" s="129"/>
      <c r="X95" s="129"/>
      <c r="Y95" s="129"/>
      <c r="Z95" s="129"/>
      <c r="AA95" s="129"/>
      <c r="AB95" s="129"/>
      <c r="AC95" s="129"/>
      <c r="AD95" s="12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9" ht="16.5" customHeight="1">
      <c r="B96" s="156" t="str">
        <f>Texte!A202</f>
        <v>Teil B: Grundfutterproduktion</v>
      </c>
      <c r="C96" s="156"/>
      <c r="D96" s="156"/>
      <c r="E96" s="156"/>
      <c r="I96" s="154"/>
      <c r="L96" s="274"/>
      <c r="N96" s="154"/>
      <c r="Q96" s="156" t="str">
        <f>Texte!A256</f>
        <v>Mutterkuh &amp; Kalb</v>
      </c>
      <c r="R96" s="154"/>
      <c r="S96" s="154"/>
      <c r="W96" s="248"/>
      <c r="Y96" s="249"/>
      <c r="Z96" s="250"/>
      <c r="AG96" s="243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t="7.7" customHeight="1">
      <c r="B97" s="156"/>
      <c r="C97" s="156"/>
      <c r="D97" s="156"/>
      <c r="E97" s="156"/>
      <c r="I97" s="154"/>
      <c r="K97" s="154"/>
      <c r="L97" s="154"/>
      <c r="N97" s="154"/>
      <c r="Q97" s="154"/>
      <c r="R97" s="154"/>
      <c r="S97" s="154"/>
      <c r="AG97" s="243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t="12.75" customHeight="1">
      <c r="B98" s="251"/>
      <c r="C98" s="252"/>
      <c r="D98" s="252"/>
      <c r="E98" s="252"/>
      <c r="F98" s="253"/>
      <c r="G98" s="253"/>
      <c r="H98" s="253"/>
      <c r="I98" s="254" t="str">
        <f>Texte!A203</f>
        <v>Stand.</v>
      </c>
      <c r="J98" s="255" t="str">
        <f>Texte!A206</f>
        <v>Fläche</v>
      </c>
      <c r="K98" s="255" t="str">
        <f>Texte!A205</f>
        <v>Ertrag</v>
      </c>
      <c r="L98" s="255" t="str">
        <f>Texte!A208</f>
        <v>Menge</v>
      </c>
      <c r="Q98" s="513" t="str">
        <f>Texte!A257</f>
        <v>davon verfüttert an</v>
      </c>
      <c r="R98" s="313"/>
      <c r="S98" s="154"/>
      <c r="AE98" s="256"/>
      <c r="AG98" s="243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t="12.75" customHeight="1">
      <c r="B99" s="257"/>
      <c r="C99" s="166"/>
      <c r="D99" s="166"/>
      <c r="E99" s="166"/>
      <c r="F99" s="167"/>
      <c r="G99" s="167"/>
      <c r="H99" s="167"/>
      <c r="I99" s="258" t="str">
        <f>Texte!A204</f>
        <v>Ertrag</v>
      </c>
      <c r="J99" s="28" t="s">
        <v>360</v>
      </c>
      <c r="K99" s="28" t="str">
        <f>Texte!A207</f>
        <v>dt TS/ha</v>
      </c>
      <c r="L99" s="28" t="str">
        <f>Texte!A209</f>
        <v>dt TS</v>
      </c>
      <c r="Q99" s="518" t="str">
        <f>Texte!A258</f>
        <v>Mutterkuh &amp; Kalb dt TS</v>
      </c>
      <c r="R99" s="317"/>
      <c r="W99" s="160" t="s">
        <v>301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t="12.75" customHeight="1">
      <c r="B100" s="259" t="str">
        <f>Texte!A213</f>
        <v>Ganzpflanzenmais, Silomais</v>
      </c>
      <c r="C100" s="260"/>
      <c r="D100" s="260"/>
      <c r="E100" s="260"/>
      <c r="F100" s="260"/>
      <c r="G100" s="260"/>
      <c r="H100" s="261"/>
      <c r="I100" s="101">
        <v>185</v>
      </c>
      <c r="J100" s="73"/>
      <c r="K100" s="74"/>
      <c r="L100" s="543">
        <f t="shared" ref="L100:L106" si="7">J100*K100</f>
        <v>0</v>
      </c>
      <c r="Q100" s="514"/>
      <c r="R100" s="515"/>
      <c r="S100" s="154" t="str">
        <f>IF($Q100&gt;$L100,Texte!A$259,"")</f>
        <v/>
      </c>
      <c r="W100" s="160" t="b">
        <f t="shared" ref="W100:W108" si="8">IF(AND(ISBLANK(Q100),L100&lt;&gt;0),1)</f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12.75" customHeight="1">
      <c r="B101" s="295" t="str">
        <f>Texte!A214</f>
        <v>Ganzpflanzen-Sorghum</v>
      </c>
      <c r="C101" s="216"/>
      <c r="D101" s="216"/>
      <c r="E101" s="216"/>
      <c r="F101" s="216"/>
      <c r="G101" s="216"/>
      <c r="H101" s="561"/>
      <c r="I101" s="101">
        <v>185</v>
      </c>
      <c r="J101" s="73"/>
      <c r="K101" s="74"/>
      <c r="L101" s="543">
        <f t="shared" si="7"/>
        <v>0</v>
      </c>
      <c r="Q101" s="562"/>
      <c r="R101" s="563"/>
      <c r="S101" s="154"/>
      <c r="W101" s="160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t="12.75" customHeight="1">
      <c r="B102" s="262" t="str">
        <f>Texte!A215</f>
        <v>Getreide-Silage</v>
      </c>
      <c r="C102" s="216"/>
      <c r="D102" s="216"/>
      <c r="E102" s="216"/>
      <c r="F102" s="216"/>
      <c r="G102" s="216"/>
      <c r="H102" s="561"/>
      <c r="I102" s="101">
        <v>106</v>
      </c>
      <c r="J102" s="73"/>
      <c r="K102" s="570">
        <v>106</v>
      </c>
      <c r="L102" s="543">
        <f t="shared" si="7"/>
        <v>0</v>
      </c>
      <c r="Q102" s="562"/>
      <c r="R102" s="563"/>
      <c r="S102" s="154"/>
      <c r="W102" s="160" t="b">
        <f t="shared" si="8"/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12.75" customHeight="1">
      <c r="B103" s="262" t="str">
        <f>Texte!A216</f>
        <v>Getreide-Silage mit Leguminosen</v>
      </c>
      <c r="C103" s="216"/>
      <c r="D103" s="216"/>
      <c r="E103" s="216"/>
      <c r="F103" s="216"/>
      <c r="G103" s="216"/>
      <c r="H103" s="561"/>
      <c r="I103" s="101">
        <v>106</v>
      </c>
      <c r="J103" s="73"/>
      <c r="K103" s="570">
        <v>106</v>
      </c>
      <c r="L103" s="543">
        <f t="shared" si="7"/>
        <v>0</v>
      </c>
      <c r="Q103" s="562"/>
      <c r="R103" s="563"/>
      <c r="S103" s="154"/>
      <c r="W103" s="160" t="b">
        <f t="shared" si="8"/>
        <v>0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t="12.75" customHeight="1">
      <c r="B104" s="262" t="str">
        <f>Texte!A217</f>
        <v>Futterrüben (ohne Blätter)</v>
      </c>
      <c r="C104" s="263"/>
      <c r="D104" s="263"/>
      <c r="E104" s="263"/>
      <c r="F104" s="263"/>
      <c r="G104" s="263"/>
      <c r="H104" s="264"/>
      <c r="I104" s="101">
        <v>175</v>
      </c>
      <c r="J104" s="73"/>
      <c r="K104" s="74"/>
      <c r="L104" s="543">
        <f t="shared" si="7"/>
        <v>0</v>
      </c>
      <c r="Q104" s="516"/>
      <c r="R104" s="517"/>
      <c r="S104" s="154" t="str">
        <f>IF($Q104&gt;$L104,Texte!A$259,"")</f>
        <v/>
      </c>
      <c r="W104" s="160" t="b">
        <f t="shared" si="8"/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12.75" customHeight="1">
      <c r="B105" s="262" t="str">
        <f>Texte!A218</f>
        <v>Grünmais (2. Kultur)</v>
      </c>
      <c r="C105" s="263"/>
      <c r="D105" s="263"/>
      <c r="E105" s="263"/>
      <c r="F105" s="263"/>
      <c r="G105" s="263"/>
      <c r="H105" s="264"/>
      <c r="I105" s="101">
        <v>60</v>
      </c>
      <c r="J105" s="73"/>
      <c r="K105" s="74"/>
      <c r="L105" s="543">
        <f t="shared" si="7"/>
        <v>0</v>
      </c>
      <c r="N105" s="267"/>
      <c r="Q105" s="516"/>
      <c r="R105" s="517"/>
      <c r="S105" s="154" t="str">
        <f>IF($Q105&gt;$L105,Texte!A$259,"")</f>
        <v/>
      </c>
      <c r="W105" s="160" t="b">
        <f t="shared" si="8"/>
        <v>0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t="12.75" customHeight="1">
      <c r="B106" s="262" t="str">
        <f>Texte!A219</f>
        <v>Ganzpflanzen-Sorghum (2. Kultur)</v>
      </c>
      <c r="C106" s="263"/>
      <c r="D106" s="263"/>
      <c r="E106" s="263"/>
      <c r="F106" s="263"/>
      <c r="G106" s="263"/>
      <c r="H106" s="264"/>
      <c r="I106" s="101">
        <v>60</v>
      </c>
      <c r="J106" s="626"/>
      <c r="K106" s="627"/>
      <c r="L106" s="543">
        <f t="shared" si="7"/>
        <v>0</v>
      </c>
      <c r="N106" s="267"/>
      <c r="Q106" s="516"/>
      <c r="R106" s="517"/>
      <c r="S106" s="154"/>
      <c r="W106" s="160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12.75" customHeight="1">
      <c r="B107" s="262" t="str">
        <f>Texte!A220</f>
        <v>Verfüttertes Stroh (nur betriebseigenes)</v>
      </c>
      <c r="C107" s="263"/>
      <c r="D107" s="263"/>
      <c r="E107" s="263"/>
      <c r="F107" s="263"/>
      <c r="G107" s="263"/>
      <c r="H107" s="264"/>
      <c r="I107" s="101">
        <v>40</v>
      </c>
      <c r="J107" s="265"/>
      <c r="K107" s="266"/>
      <c r="L107" s="91"/>
      <c r="N107" s="267"/>
      <c r="Q107" s="516"/>
      <c r="R107" s="517"/>
      <c r="S107" s="154" t="str">
        <f>IF($Q107&gt;$L107,Texte!A$259,"")</f>
        <v/>
      </c>
      <c r="W107" s="160" t="b">
        <f t="shared" si="8"/>
        <v>0</v>
      </c>
      <c r="Z107" s="273" t="s">
        <v>778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t="12.75" customHeight="1">
      <c r="B108" s="268" t="str">
        <f>Texte!A221</f>
        <v>Verfütterte Rübenblätter (nur betriebseigene)</v>
      </c>
      <c r="C108" s="269"/>
      <c r="D108" s="269"/>
      <c r="E108" s="269"/>
      <c r="F108" s="269"/>
      <c r="G108" s="269"/>
      <c r="H108" s="270"/>
      <c r="I108" s="102">
        <v>50</v>
      </c>
      <c r="J108" s="271"/>
      <c r="K108" s="272"/>
      <c r="L108" s="92"/>
      <c r="Q108" s="516"/>
      <c r="R108" s="517"/>
      <c r="S108" s="154" t="str">
        <f>IF($Q108&gt;$L108,Texte!A$259,"")</f>
        <v/>
      </c>
      <c r="W108" s="160" t="b">
        <f t="shared" si="8"/>
        <v>0</v>
      </c>
      <c r="Z108" s="314" t="s">
        <v>1193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t="12.75" customHeight="1">
      <c r="B109" s="629" t="str">
        <f>Texte!A222</f>
        <v>Zwischenfutter, Aeugstlen</v>
      </c>
      <c r="C109" s="260"/>
      <c r="D109" s="260"/>
      <c r="E109" s="260"/>
      <c r="F109" s="260"/>
      <c r="G109" s="260"/>
      <c r="H109" s="261"/>
      <c r="I109" s="103">
        <v>25</v>
      </c>
      <c r="J109" s="427"/>
      <c r="K109" s="73"/>
      <c r="L109" s="544">
        <f t="shared" ref="L109:L115" si="9">J109*K109</f>
        <v>0</v>
      </c>
      <c r="Q109" s="508"/>
      <c r="R109" s="509"/>
      <c r="S109" s="196"/>
      <c r="W109" s="160">
        <f>SUM(W100:W108)</f>
        <v>0</v>
      </c>
      <c r="X109" s="556" t="s">
        <v>302</v>
      </c>
      <c r="Y109" s="160">
        <v>25</v>
      </c>
      <c r="Z109" s="382" t="str">
        <f>IF($K109&gt;$Y109,1,"")</f>
        <v/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t="12.75" customHeight="1">
      <c r="B110" s="630" t="str">
        <f>Texte!A223</f>
        <v>Frühjahrsschnitt vor Umbruch</v>
      </c>
      <c r="C110" s="216"/>
      <c r="D110" s="216"/>
      <c r="E110" s="216"/>
      <c r="F110" s="216"/>
      <c r="G110" s="216"/>
      <c r="H110" s="561"/>
      <c r="I110" s="628">
        <v>50</v>
      </c>
      <c r="J110" s="427"/>
      <c r="K110" s="73"/>
      <c r="L110" s="543">
        <f t="shared" si="9"/>
        <v>0</v>
      </c>
      <c r="Q110" s="510"/>
      <c r="R110" s="511"/>
      <c r="S110" s="196"/>
      <c r="W110" s="160"/>
      <c r="X110" s="556"/>
      <c r="Y110" s="160">
        <v>50</v>
      </c>
      <c r="Z110" s="382" t="str">
        <f>IF($K110&gt;$Y110,1,"")</f>
        <v/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t="12.75" customHeight="1">
      <c r="B111" s="262" t="str">
        <f>Texte!A224</f>
        <v>Samenproduktion: Leguminosen Reinbestand</v>
      </c>
      <c r="C111" s="263"/>
      <c r="D111" s="263"/>
      <c r="E111" s="263"/>
      <c r="F111" s="263"/>
      <c r="G111" s="263"/>
      <c r="H111" s="264"/>
      <c r="I111" s="101" t="s">
        <v>568</v>
      </c>
      <c r="J111" s="73"/>
      <c r="K111" s="73"/>
      <c r="L111" s="543">
        <f t="shared" si="9"/>
        <v>0</v>
      </c>
      <c r="Q111" s="510"/>
      <c r="R111" s="511"/>
      <c r="S111" s="196"/>
      <c r="Y111" s="160">
        <v>120</v>
      </c>
      <c r="Z111" s="382" t="str">
        <f>IF($K111&gt;$Y111,1,"")</f>
        <v/>
      </c>
      <c r="AA111" s="24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t="12.75" customHeight="1">
      <c r="B112" s="262" t="str">
        <f>Texte!A225</f>
        <v>Samenproduktion: Gras Reinbestand</v>
      </c>
      <c r="C112" s="263"/>
      <c r="D112" s="263"/>
      <c r="E112" s="263"/>
      <c r="F112" s="263"/>
      <c r="G112" s="263"/>
      <c r="H112" s="264"/>
      <c r="I112" s="101" t="s">
        <v>568</v>
      </c>
      <c r="J112" s="73"/>
      <c r="K112" s="73"/>
      <c r="L112" s="543">
        <f t="shared" si="9"/>
        <v>0</v>
      </c>
      <c r="N112" s="274"/>
      <c r="Q112" s="510"/>
      <c r="R112" s="511"/>
      <c r="S112" s="276"/>
      <c r="Y112" s="160">
        <v>180</v>
      </c>
      <c r="Z112" s="382" t="str">
        <f t="shared" ref="Z112:Z118" si="10">IF($K112&gt;$Y112,1,"")</f>
        <v/>
      </c>
      <c r="AA112" s="24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t="12.75" customHeight="1">
      <c r="B113" s="262" t="str">
        <f>Texte!A226</f>
        <v>Extensive Wiesen</v>
      </c>
      <c r="C113" s="263"/>
      <c r="D113" s="263"/>
      <c r="E113" s="263"/>
      <c r="F113" s="263"/>
      <c r="G113" s="263"/>
      <c r="H113" s="264"/>
      <c r="I113" s="101" t="s">
        <v>759</v>
      </c>
      <c r="J113" s="73"/>
      <c r="K113" s="73"/>
      <c r="L113" s="543">
        <f t="shared" si="9"/>
        <v>0</v>
      </c>
      <c r="N113" s="274"/>
      <c r="Q113" s="510"/>
      <c r="R113" s="511"/>
      <c r="S113" s="276"/>
      <c r="Y113" s="160">
        <v>30</v>
      </c>
      <c r="Z113" s="382" t="str">
        <f t="shared" si="10"/>
        <v/>
      </c>
      <c r="AA113" s="24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t="12.75" customHeight="1">
      <c r="B114" s="262" t="str">
        <f>Texte!A227</f>
        <v>Übrige Wiesen mit Düngeverbot</v>
      </c>
      <c r="C114" s="263"/>
      <c r="D114" s="263"/>
      <c r="E114" s="263"/>
      <c r="F114" s="263"/>
      <c r="G114" s="263"/>
      <c r="H114" s="264"/>
      <c r="I114" s="101" t="s">
        <v>759</v>
      </c>
      <c r="J114" s="73"/>
      <c r="K114" s="73"/>
      <c r="L114" s="543">
        <f t="shared" si="9"/>
        <v>0</v>
      </c>
      <c r="N114" s="274"/>
      <c r="Q114" s="510"/>
      <c r="R114" s="511"/>
      <c r="S114" s="276"/>
      <c r="Y114" s="160">
        <v>30</v>
      </c>
      <c r="Z114" s="382" t="str">
        <f t="shared" si="10"/>
        <v/>
      </c>
      <c r="AA114" s="24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t="12.75" customHeight="1">
      <c r="B115" s="262" t="str">
        <f>Texte!A228</f>
        <v>Extensive Weiden, Waldweiden</v>
      </c>
      <c r="C115" s="263"/>
      <c r="D115" s="263"/>
      <c r="E115" s="263"/>
      <c r="F115" s="263"/>
      <c r="G115" s="263"/>
      <c r="H115" s="264"/>
      <c r="I115" s="101" t="s">
        <v>569</v>
      </c>
      <c r="J115" s="73"/>
      <c r="K115" s="73"/>
      <c r="L115" s="543">
        <f t="shared" si="9"/>
        <v>0</v>
      </c>
      <c r="N115" s="274"/>
      <c r="Q115" s="510"/>
      <c r="R115" s="511"/>
      <c r="S115" s="276"/>
      <c r="Y115" s="160">
        <v>25</v>
      </c>
      <c r="Z115" s="382" t="str">
        <f t="shared" si="10"/>
        <v/>
      </c>
      <c r="AA115" s="24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t="12.75" customHeight="1">
      <c r="B116" s="262" t="str">
        <f>Texte!A229</f>
        <v>Wiesen und Weiden</v>
      </c>
      <c r="C116" s="263"/>
      <c r="D116" s="263"/>
      <c r="E116" s="263" t="str">
        <f>Texte!A230</f>
        <v>wenig intensiv (1-3 Nutzungen)</v>
      </c>
      <c r="F116" s="263"/>
      <c r="G116" s="263"/>
      <c r="H116" s="264"/>
      <c r="I116" s="101" t="s">
        <v>761</v>
      </c>
      <c r="J116" s="73"/>
      <c r="K116" s="73"/>
      <c r="L116" s="543">
        <f>IF(AND(J$118=0,J$117=0,J$116&gt;0,K$116=""),L$169-SUM(L$100:L$115),J$116*K$116)</f>
        <v>0</v>
      </c>
      <c r="N116" s="274"/>
      <c r="Q116" s="510"/>
      <c r="R116" s="511"/>
      <c r="S116" s="276"/>
      <c r="Y116" s="160">
        <v>65</v>
      </c>
      <c r="Z116" s="382" t="str">
        <f t="shared" si="10"/>
        <v/>
      </c>
      <c r="AA116" s="24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t="12.75" customHeight="1">
      <c r="B117" s="262"/>
      <c r="C117" s="263"/>
      <c r="D117" s="263"/>
      <c r="E117" s="263" t="str">
        <f>Texte!A231</f>
        <v>mittelintensiv (1-4 Nutzungen)</v>
      </c>
      <c r="F117" s="263"/>
      <c r="G117" s="263"/>
      <c r="H117" s="264"/>
      <c r="I117" s="101" t="s">
        <v>147</v>
      </c>
      <c r="J117" s="73"/>
      <c r="K117" s="73"/>
      <c r="L117" s="543">
        <f>IF(AND(J$118=0,J$117&gt;0,K$117=""),L$169-SUM(L$100:L$116),J$117*K$117)</f>
        <v>0</v>
      </c>
      <c r="N117" s="274"/>
      <c r="Q117" s="510"/>
      <c r="R117" s="511"/>
      <c r="S117" s="276"/>
      <c r="Y117" s="160">
        <v>100</v>
      </c>
      <c r="Z117" s="382" t="str">
        <f t="shared" si="10"/>
        <v/>
      </c>
      <c r="AA117" s="24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t="12.75" customHeight="1">
      <c r="B118" s="361"/>
      <c r="C118" s="362"/>
      <c r="D118" s="362"/>
      <c r="E118" s="362" t="str">
        <f>Texte!A232</f>
        <v>intensive (2-6 Nutzungen)</v>
      </c>
      <c r="F118" s="362"/>
      <c r="G118" s="362"/>
      <c r="H118" s="363"/>
      <c r="I118" s="101" t="s">
        <v>148</v>
      </c>
      <c r="J118" s="73"/>
      <c r="K118" s="365" t="str">
        <f>IF($J$118="","",(L169-SUM(L100:L117))/J118)</f>
        <v/>
      </c>
      <c r="L118" s="545">
        <f>IF($J$118="",$L$169-SUM($L$100:$L$117),$J$118*$K$118)</f>
        <v>0</v>
      </c>
      <c r="N118" s="274"/>
      <c r="Q118" s="512"/>
      <c r="R118" s="272"/>
      <c r="S118" s="276"/>
      <c r="Y118" s="160">
        <v>135</v>
      </c>
      <c r="Z118" s="382" t="str">
        <f t="shared" si="10"/>
        <v/>
      </c>
      <c r="AA118" s="24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t="12.75" customHeight="1">
      <c r="B119" s="185"/>
      <c r="C119" s="185"/>
      <c r="D119" s="185"/>
      <c r="E119" s="185"/>
      <c r="F119" s="154" t="str">
        <f>IF(OR(AND(ROUND($L$118,0)&lt;&gt;0,$J$118=""),L118&lt;0),Texte!A254,IF(OR(AND(J117&gt;0,L117&gt;0,K117=""),AND(J116&gt;0,L116&gt;0,K116="")),Texte!A255,""))</f>
        <v/>
      </c>
      <c r="I119" s="253"/>
      <c r="J119" s="438"/>
      <c r="L119" s="247"/>
      <c r="M119" s="247" t="str">
        <f>IF(COUNT($Z$109:$Z$118)&gt;0,Texte!$A$238,"")</f>
        <v/>
      </c>
      <c r="N119" s="210"/>
      <c r="O119" s="467"/>
      <c r="P119" s="467"/>
      <c r="Q119" s="467"/>
      <c r="R119" s="467"/>
      <c r="S119" s="467"/>
      <c r="T119" s="467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t="12.75" customHeight="1">
      <c r="B120" s="185" t="str">
        <f>Texte!A233</f>
        <v>Grünfläche</v>
      </c>
      <c r="C120" s="185"/>
      <c r="D120" s="185"/>
      <c r="E120" s="185"/>
      <c r="J120" s="546">
        <f>SUM(J111:J118)</f>
        <v>0</v>
      </c>
      <c r="K120" s="153" t="s">
        <v>360</v>
      </c>
      <c r="N120" s="247"/>
      <c r="O120" s="339"/>
      <c r="P120" s="339"/>
      <c r="Q120" s="408"/>
      <c r="R120" s="408"/>
      <c r="S120" s="408"/>
      <c r="T120" s="408"/>
      <c r="Y120" s="160"/>
      <c r="Z120" s="273" t="s">
        <v>1210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t="12.75" customHeight="1">
      <c r="B121" s="185" t="str">
        <f>Texte!A234</f>
        <v>Zwischenfutterfläche</v>
      </c>
      <c r="C121" s="185"/>
      <c r="D121" s="185"/>
      <c r="E121" s="185"/>
      <c r="J121" s="546">
        <f>SUM(J105,J106,J109,J110)</f>
        <v>0</v>
      </c>
      <c r="K121" s="153" t="s">
        <v>360</v>
      </c>
      <c r="O121" s="267"/>
      <c r="P121" s="267"/>
      <c r="Q121" s="351"/>
      <c r="R121" s="351"/>
      <c r="S121" s="351"/>
      <c r="T121" s="351"/>
      <c r="Y121" s="273" t="s">
        <v>1211</v>
      </c>
      <c r="Z121" s="405">
        <f>SUM(J113,J115,J116)</f>
        <v>0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t="12.75" customHeight="1">
      <c r="B122" s="185" t="str">
        <f>Texte!A235</f>
        <v>B1: Grundfutterproduktion total</v>
      </c>
      <c r="C122" s="185"/>
      <c r="D122" s="185"/>
      <c r="E122" s="185"/>
      <c r="J122" s="276"/>
      <c r="K122" s="153"/>
      <c r="L122" s="547">
        <f>SUM(L100:L118)</f>
        <v>0</v>
      </c>
      <c r="M122" s="47" t="str">
        <f>Texte!A104</f>
        <v>dt TS</v>
      </c>
      <c r="N122" s="154"/>
      <c r="O122" s="275"/>
      <c r="P122" s="275"/>
      <c r="Q122" s="275"/>
      <c r="R122" s="275"/>
      <c r="S122" s="275"/>
      <c r="T122" s="275"/>
      <c r="Y122" s="273" t="s">
        <v>1212</v>
      </c>
      <c r="Z122" s="405">
        <f>SUM(Q112:Q118)</f>
        <v>0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t="12.75" customHeight="1">
      <c r="B123" s="185" t="str">
        <f>Texte!A236</f>
        <v>B2: Grundfutterproduktion Wiesen und Weiden</v>
      </c>
      <c r="C123" s="185"/>
      <c r="D123" s="185"/>
      <c r="E123" s="185"/>
      <c r="J123" s="276"/>
      <c r="K123" s="153"/>
      <c r="L123" s="547">
        <f>SUM(L109:L118)</f>
        <v>0</v>
      </c>
      <c r="M123" s="47" t="str">
        <f>Texte!A104</f>
        <v>dt TS</v>
      </c>
      <c r="N123" s="154"/>
      <c r="O123" s="154"/>
      <c r="P123" s="154"/>
      <c r="Q123" s="154"/>
      <c r="R123" s="154"/>
      <c r="S123" s="154"/>
      <c r="T123" s="154"/>
      <c r="Y123" s="273" t="s">
        <v>1213</v>
      </c>
      <c r="Z123" s="405">
        <f>SUM(R112:R118)</f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t="12.75" customHeight="1">
      <c r="B124" s="185" t="str">
        <f>Texte!A237</f>
        <v>B3: Grundfutterproduktion übrige</v>
      </c>
      <c r="C124" s="185"/>
      <c r="D124" s="185"/>
      <c r="E124" s="185"/>
      <c r="J124" s="276"/>
      <c r="K124" s="153"/>
      <c r="L124" s="547">
        <f>SUM(L100:L108)</f>
        <v>0</v>
      </c>
      <c r="M124" s="47" t="str">
        <f>Texte!A104</f>
        <v>dt TS</v>
      </c>
      <c r="N124" s="154"/>
      <c r="O124" s="154"/>
      <c r="P124" s="154"/>
      <c r="Q124" s="154"/>
      <c r="R124" s="154"/>
      <c r="S124" s="154"/>
      <c r="T124" s="154"/>
      <c r="Y124" s="273" t="s">
        <v>1214</v>
      </c>
      <c r="Z124" s="405" t="str">
        <f>IF(Z123&gt;Z121,"ja","")</f>
        <v/>
      </c>
      <c r="AA124" s="153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t="11.45" customHeight="1">
      <c r="B125" s="185"/>
      <c r="C125" s="185"/>
      <c r="D125" s="185"/>
      <c r="E125" s="185"/>
      <c r="J125" s="276"/>
      <c r="N125" s="154"/>
      <c r="O125" s="154"/>
      <c r="P125" s="154"/>
      <c r="Q125" s="154"/>
      <c r="R125" s="154"/>
      <c r="S125" s="154"/>
      <c r="T125" s="154"/>
      <c r="Y125" s="273" t="s">
        <v>1215</v>
      </c>
      <c r="Z125" s="405" t="str">
        <f>IF(O119&lt;&gt;J120,"ja","")</f>
        <v/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t="15.95" customHeight="1">
      <c r="B126" s="156" t="str">
        <f>Texte!A261</f>
        <v>Teil C: Zu- und Wegfuhr Grundfutter</v>
      </c>
      <c r="C126" s="185"/>
      <c r="D126" s="185"/>
      <c r="E126" s="185"/>
      <c r="H126" s="236"/>
      <c r="I126" s="237"/>
      <c r="J126" s="237"/>
      <c r="K126" s="241"/>
      <c r="L126" s="241"/>
      <c r="M126" s="236"/>
      <c r="N126" s="236"/>
      <c r="Q126" s="156" t="str">
        <f>Texte!A313</f>
        <v>Mutterkuh &amp; Kalb</v>
      </c>
      <c r="R126" s="236"/>
      <c r="S126" s="236"/>
      <c r="U126" s="236"/>
      <c r="V126" s="129"/>
      <c r="W126" s="129"/>
      <c r="X126" s="129"/>
      <c r="Y126" s="273" t="s">
        <v>1216</v>
      </c>
      <c r="Z126" s="405" t="str">
        <f>IF(AND(Z123=0,Z121&lt;&gt;0),"ja","")</f>
        <v/>
      </c>
      <c r="AA126" s="129"/>
      <c r="AB126" s="129"/>
      <c r="AC126" s="129"/>
      <c r="AD126" s="12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t="7.7" customHeight="1">
      <c r="B127" s="156"/>
      <c r="C127" s="185"/>
      <c r="D127" s="185"/>
      <c r="E127" s="185"/>
      <c r="H127" s="236"/>
      <c r="I127" s="237"/>
      <c r="J127" s="237"/>
      <c r="K127" s="241"/>
      <c r="L127" s="241"/>
      <c r="M127" s="236"/>
      <c r="N127" s="236"/>
      <c r="Q127" s="236"/>
      <c r="R127" s="236"/>
      <c r="S127" s="236"/>
      <c r="U127" s="236"/>
      <c r="V127" s="278"/>
      <c r="W127" s="278"/>
      <c r="X127" s="278"/>
      <c r="Y127" s="278"/>
      <c r="Z127" s="2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t="12.75" customHeight="1">
      <c r="B128" s="251" t="str">
        <f>Texte!A262</f>
        <v>Grundfutterverzehr auf dem Betrieb</v>
      </c>
      <c r="C128" s="279"/>
      <c r="D128" s="279"/>
      <c r="E128" s="279"/>
      <c r="F128" s="253"/>
      <c r="G128" s="253"/>
      <c r="H128" s="280"/>
      <c r="I128" s="281"/>
      <c r="J128" s="281"/>
      <c r="K128" s="282"/>
      <c r="L128" s="277">
        <f>L85</f>
        <v>0</v>
      </c>
      <c r="M128" s="236" t="str">
        <f>Texte!A104</f>
        <v>dt TS</v>
      </c>
      <c r="N128" s="236"/>
      <c r="Q128" s="524" t="str">
        <f>Texte!A314</f>
        <v>davon verfüttert an</v>
      </c>
      <c r="R128" s="525"/>
      <c r="S128" s="236"/>
      <c r="U128" s="236"/>
      <c r="V128" s="278"/>
      <c r="W128" s="278"/>
      <c r="X128" s="278"/>
      <c r="Y128" s="27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t="12.75" customHeight="1">
      <c r="B129" s="283" t="str">
        <f>Texte!A263</f>
        <v>Zu- und Wegfuhr von Grundfutter und Grundfutterproduktion ausserhalb der Futterfläche (FF)</v>
      </c>
      <c r="C129" s="279"/>
      <c r="D129" s="279"/>
      <c r="E129" s="279"/>
      <c r="F129" s="253"/>
      <c r="G129" s="253"/>
      <c r="H129" s="280"/>
      <c r="I129" s="281"/>
      <c r="J129" s="281"/>
      <c r="K129" s="282"/>
      <c r="L129" s="284"/>
      <c r="M129" s="236"/>
      <c r="N129" s="236"/>
      <c r="Q129" s="527" t="str">
        <f>Texte!A315</f>
        <v>Mutterkuh &amp; Kalb</v>
      </c>
      <c r="R129" s="528"/>
      <c r="S129" s="236"/>
      <c r="U129" s="236"/>
      <c r="V129" s="278"/>
      <c r="W129" s="168" t="s">
        <v>1199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t="12.75" customHeight="1">
      <c r="B130" s="283" t="str">
        <f>Texte!A264</f>
        <v>Grundfuttertyp</v>
      </c>
      <c r="C130" s="279"/>
      <c r="D130" s="279"/>
      <c r="E130" s="279"/>
      <c r="F130" s="285" t="str">
        <f>Texte!A265</f>
        <v>Menge</v>
      </c>
      <c r="G130" s="285" t="str">
        <f>Texte!A267</f>
        <v>%</v>
      </c>
      <c r="H130" s="286" t="str">
        <f>Texte!A269</f>
        <v>Code</v>
      </c>
      <c r="I130" s="287" t="str">
        <f>Texte!A270</f>
        <v>Wegfuhr</v>
      </c>
      <c r="J130" s="287" t="str">
        <f>Texte!A274</f>
        <v>Zufuhr</v>
      </c>
      <c r="K130" s="288" t="str">
        <f>Texte!A275</f>
        <v>ausser FF</v>
      </c>
      <c r="L130" s="284"/>
      <c r="M130" s="236" t="str">
        <f>Texte!A269</f>
        <v>Code</v>
      </c>
      <c r="N130" s="236"/>
      <c r="Q130" s="529" t="str">
        <f>Texte!A316</f>
        <v>Menge</v>
      </c>
      <c r="R130" s="530"/>
      <c r="S130" s="236"/>
      <c r="U130" s="236"/>
      <c r="V130" s="27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t="12.75" customHeight="1">
      <c r="B131" s="289"/>
      <c r="C131" s="185"/>
      <c r="D131" s="185"/>
      <c r="E131" s="185"/>
      <c r="F131" s="290" t="str">
        <f>Texte!A266</f>
        <v>dt</v>
      </c>
      <c r="G131" s="290" t="str">
        <f>Texte!A268</f>
        <v>TS</v>
      </c>
      <c r="H131" s="291" t="s">
        <v>744</v>
      </c>
      <c r="I131" s="292" t="str">
        <f>Texte!A271</f>
        <v>dt TS</v>
      </c>
      <c r="J131" s="292" t="str">
        <f>Texte!A271</f>
        <v>dt TS</v>
      </c>
      <c r="K131" s="292" t="str">
        <f>Texte!A271</f>
        <v>dt TS</v>
      </c>
      <c r="L131" s="284"/>
      <c r="M131" s="236" t="str">
        <f>Texte!A210</f>
        <v>1 = Verkauf</v>
      </c>
      <c r="N131" s="236"/>
      <c r="Q131" s="519" t="str">
        <f>Texte!A317</f>
        <v>dt TS</v>
      </c>
      <c r="R131" s="193"/>
      <c r="S131" s="236"/>
      <c r="W131" s="293">
        <v>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t="12.75" customHeight="1">
      <c r="B132" s="259" t="str">
        <f>Texte!A277</f>
        <v>Gras</v>
      </c>
      <c r="C132" s="260"/>
      <c r="D132" s="260"/>
      <c r="E132" s="260"/>
      <c r="F132" s="87"/>
      <c r="G132" s="3"/>
      <c r="H132" s="50"/>
      <c r="I132" s="548" t="str">
        <f t="shared" ref="I132:I146" si="11">IF(H132=1,F132*G132/100,"")</f>
        <v/>
      </c>
      <c r="J132" s="548" t="str">
        <f t="shared" ref="J132:J157" si="12">IF(H132=2,F132*G132/100,"")</f>
        <v/>
      </c>
      <c r="K132" s="294"/>
      <c r="L132" s="284"/>
      <c r="M132" s="236" t="str">
        <f>Texte!A211</f>
        <v>2 = Zukauf</v>
      </c>
      <c r="N132" s="236"/>
      <c r="Q132" s="508"/>
      <c r="R132" s="509"/>
      <c r="S132" s="236"/>
      <c r="W132" s="293">
        <v>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t="12.75" customHeight="1">
      <c r="B133" s="295" t="str">
        <f>Texte!A278</f>
        <v>Grassilage</v>
      </c>
      <c r="C133" s="216"/>
      <c r="D133" s="216"/>
      <c r="E133" s="216"/>
      <c r="F133" s="87"/>
      <c r="G133" s="3"/>
      <c r="H133" s="50"/>
      <c r="I133" s="540" t="str">
        <f t="shared" si="11"/>
        <v/>
      </c>
      <c r="J133" s="540" t="str">
        <f t="shared" si="12"/>
        <v/>
      </c>
      <c r="K133" s="297"/>
      <c r="L133" s="284"/>
      <c r="M133" s="236" t="str">
        <f>Texte!A212</f>
        <v>3 = ausserhalb FF</v>
      </c>
      <c r="Q133" s="510"/>
      <c r="R133" s="511"/>
      <c r="W133" s="293">
        <v>3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t="12.75" customHeight="1">
      <c r="B134" s="295" t="str">
        <f>Texte!A279</f>
        <v>Graswürfel</v>
      </c>
      <c r="C134" s="216"/>
      <c r="D134" s="216"/>
      <c r="E134" s="216"/>
      <c r="F134" s="87"/>
      <c r="G134" s="3"/>
      <c r="H134" s="50"/>
      <c r="I134" s="540" t="str">
        <f t="shared" si="11"/>
        <v/>
      </c>
      <c r="J134" s="540" t="str">
        <f t="shared" si="12"/>
        <v/>
      </c>
      <c r="K134" s="297"/>
      <c r="L134" s="284"/>
      <c r="M134" s="236"/>
      <c r="N134" s="236"/>
      <c r="Q134" s="510"/>
      <c r="R134" s="511"/>
      <c r="S134" s="236"/>
      <c r="U134" s="127"/>
      <c r="V134" s="2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t="12.75" customHeight="1">
      <c r="B135" s="215" t="str">
        <f>Texte!A280</f>
        <v>Dürrfutter</v>
      </c>
      <c r="C135" s="216"/>
      <c r="D135" s="216"/>
      <c r="E135" s="216"/>
      <c r="F135" s="88"/>
      <c r="G135" s="4"/>
      <c r="H135" s="50"/>
      <c r="I135" s="540" t="str">
        <f t="shared" si="11"/>
        <v/>
      </c>
      <c r="J135" s="540" t="str">
        <f t="shared" si="12"/>
        <v/>
      </c>
      <c r="K135" s="297"/>
      <c r="L135" s="284"/>
      <c r="Q135" s="510"/>
      <c r="R135" s="511"/>
      <c r="V135" s="2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t="12.75" customHeight="1">
      <c r="B136" s="184" t="str">
        <f>Texte!A281</f>
        <v>Dürrfutter, "nährstoffarm"</v>
      </c>
      <c r="C136" s="235"/>
      <c r="D136" s="235"/>
      <c r="E136" s="235"/>
      <c r="F136" s="89"/>
      <c r="G136" s="53"/>
      <c r="H136" s="50"/>
      <c r="I136" s="539" t="str">
        <f t="shared" si="11"/>
        <v/>
      </c>
      <c r="J136" s="539" t="str">
        <f t="shared" si="12"/>
        <v/>
      </c>
      <c r="K136" s="297"/>
      <c r="L136" s="284"/>
      <c r="M136" s="236"/>
      <c r="N136" s="236"/>
      <c r="Q136" s="510"/>
      <c r="R136" s="511"/>
      <c r="S136" s="236"/>
      <c r="U136" s="236"/>
      <c r="V136" s="236"/>
      <c r="W136" s="160" t="s">
        <v>301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t="12.75" customHeight="1">
      <c r="B137" s="368" t="str">
        <f>Texte!A282</f>
        <v>Getreide-Silage</v>
      </c>
      <c r="C137" s="369"/>
      <c r="D137" s="369"/>
      <c r="E137" s="369"/>
      <c r="F137" s="315"/>
      <c r="G137" s="296"/>
      <c r="H137" s="54"/>
      <c r="I137" s="550" t="str">
        <f>IF(H137=1,F137*G137/100,"")</f>
        <v/>
      </c>
      <c r="J137" s="550" t="str">
        <f t="shared" si="12"/>
        <v/>
      </c>
      <c r="K137" s="294"/>
      <c r="L137" s="284"/>
      <c r="M137" s="236"/>
      <c r="N137" s="236"/>
      <c r="Q137" s="568"/>
      <c r="R137" s="569"/>
      <c r="S137" s="526" t="str">
        <f>IF(AND($H137=1,$Q137&gt;0),Texte!$A$318,IF(AND($H137=2,$Q137&gt;ROUND($J137,0)),Texte!$A$318,IF(AND($H137=3,$Q137&gt;ROUND($K137,0)),Texte!$A$318,"")))</f>
        <v/>
      </c>
      <c r="U137" s="236"/>
      <c r="V137" s="236"/>
      <c r="W137" s="160" t="b">
        <f t="shared" ref="W137:W157" si="13">IF(AND(ISBLANK(Q137),OR(J137,K137)&lt;&gt;0),1)</f>
        <v>0</v>
      </c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t="12.75" customHeight="1">
      <c r="B138" s="220" t="str">
        <f>Texte!A283</f>
        <v>Getreide-Silage mit Leguminosen</v>
      </c>
      <c r="C138" s="221"/>
      <c r="D138" s="221"/>
      <c r="E138" s="221"/>
      <c r="F138" s="88"/>
      <c r="G138" s="4"/>
      <c r="H138" s="50"/>
      <c r="I138" s="540" t="str">
        <f t="shared" si="11"/>
        <v/>
      </c>
      <c r="J138" s="540" t="str">
        <f t="shared" si="12"/>
        <v/>
      </c>
      <c r="K138" s="297"/>
      <c r="L138" s="284"/>
      <c r="M138" s="236"/>
      <c r="N138" s="236"/>
      <c r="Q138" s="520"/>
      <c r="R138" s="521"/>
      <c r="S138" s="526" t="str">
        <f>IF(AND($H138=1,$Q138&gt;0),Texte!$A$318,IF(AND($H138=2,$Q138&gt;ROUND($J138,0)),Texte!$A$318,IF(AND($H138=3,$Q138&gt;ROUND($K138,0)),Texte!$A$318,"")))</f>
        <v/>
      </c>
      <c r="U138" s="236"/>
      <c r="V138" s="236"/>
      <c r="W138" s="160" t="b">
        <f t="shared" si="13"/>
        <v>0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t="12.75" customHeight="1">
      <c r="B139" s="220" t="str">
        <f>Texte!A284</f>
        <v>Silomais</v>
      </c>
      <c r="C139" s="221"/>
      <c r="D139" s="221"/>
      <c r="E139" s="221"/>
      <c r="F139" s="88"/>
      <c r="G139" s="4"/>
      <c r="H139" s="50"/>
      <c r="I139" s="540" t="str">
        <f t="shared" si="11"/>
        <v/>
      </c>
      <c r="J139" s="540" t="str">
        <f t="shared" si="12"/>
        <v/>
      </c>
      <c r="K139" s="297"/>
      <c r="L139" s="284"/>
      <c r="Q139" s="520"/>
      <c r="R139" s="521"/>
      <c r="S139" s="526" t="str">
        <f>IF(AND($H139=1,$Q139&gt;0),Texte!$A$318,IF(AND($H139=2,$Q139&gt;ROUND($J139,0)),Texte!$A$318,IF(AND($H139=3,$Q139&gt;ROUND($K139,0)),Texte!$A$318,"")))</f>
        <v/>
      </c>
      <c r="W139" s="160" t="b">
        <f t="shared" si="13"/>
        <v>0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t="12.75" customHeight="1">
      <c r="B140" s="215" t="str">
        <f>Texte!A285</f>
        <v>Grünmais</v>
      </c>
      <c r="C140" s="299"/>
      <c r="D140" s="299"/>
      <c r="E140" s="299"/>
      <c r="F140" s="88"/>
      <c r="G140" s="4"/>
      <c r="H140" s="50"/>
      <c r="I140" s="540" t="str">
        <f t="shared" si="11"/>
        <v/>
      </c>
      <c r="J140" s="540" t="str">
        <f t="shared" si="12"/>
        <v/>
      </c>
      <c r="K140" s="297"/>
      <c r="L140" s="284"/>
      <c r="Q140" s="520"/>
      <c r="R140" s="521"/>
      <c r="S140" s="526" t="str">
        <f>IF(AND($H140=1,$Q140&gt;0),Texte!$A$318,IF(AND($H140=2,$Q140&gt;ROUND($J140,0)),Texte!$A$318,IF(AND($H140=3,$Q140&gt;ROUND($K140,0)),Texte!$A$318,"")))</f>
        <v/>
      </c>
      <c r="W140" s="160" t="b">
        <f t="shared" si="13"/>
        <v>0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t="12.75" customHeight="1">
      <c r="B141" s="215" t="str">
        <f>Texte!A286</f>
        <v>Mais Ganzpflanzenwürfel</v>
      </c>
      <c r="C141" s="299"/>
      <c r="D141" s="299"/>
      <c r="E141" s="299"/>
      <c r="F141" s="88"/>
      <c r="G141" s="4"/>
      <c r="H141" s="50"/>
      <c r="I141" s="540" t="str">
        <f t="shared" si="11"/>
        <v/>
      </c>
      <c r="J141" s="540" t="str">
        <f t="shared" si="12"/>
        <v/>
      </c>
      <c r="K141" s="297"/>
      <c r="L141" s="284"/>
      <c r="Q141" s="520"/>
      <c r="R141" s="521"/>
      <c r="S141" s="526" t="str">
        <f>IF(AND($H141=1,$Q141&gt;0),Texte!$A$318,IF(AND($H141=2,$Q141&gt;ROUND($J141,0)),Texte!$A$318,IF(AND($H141=3,$Q141&gt;ROUND($K141,0)),Texte!$A$318,"")))</f>
        <v/>
      </c>
      <c r="W141" s="160" t="b">
        <f t="shared" si="13"/>
        <v>0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t="12.75" customHeight="1">
      <c r="B142" s="215" t="str">
        <f>Texte!A287</f>
        <v>CCM (für Rindviehmast)</v>
      </c>
      <c r="C142" s="299"/>
      <c r="D142" s="299"/>
      <c r="E142" s="299"/>
      <c r="F142" s="88"/>
      <c r="G142" s="4"/>
      <c r="H142" s="50"/>
      <c r="I142" s="302" t="str">
        <f t="shared" si="11"/>
        <v/>
      </c>
      <c r="J142" s="540" t="str">
        <f t="shared" si="12"/>
        <v/>
      </c>
      <c r="K142" s="540" t="str">
        <f>IF(H142=3,F142*G142/100,"")</f>
        <v/>
      </c>
      <c r="L142" s="284"/>
      <c r="Q142" s="520"/>
      <c r="R142" s="521"/>
      <c r="S142" s="526" t="str">
        <f>IF(AND($H142=1,$Q142&gt;0),Texte!$A$318,IF(AND($H142=2,$Q142&gt;ROUND($J142,0)),Texte!$A$318,IF(AND($H142=3,$Q142&gt;ROUND($K142,0)),Texte!$A$318,"")))</f>
        <v/>
      </c>
      <c r="W142" s="160" t="b">
        <f t="shared" si="13"/>
        <v>0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t="12.75" customHeight="1">
      <c r="B143" s="215" t="str">
        <f>Texte!A288</f>
        <v>Ganzpflanzen-Sorghum</v>
      </c>
      <c r="C143" s="299"/>
      <c r="D143" s="299"/>
      <c r="E143" s="299"/>
      <c r="F143" s="88"/>
      <c r="G143" s="4"/>
      <c r="H143" s="50"/>
      <c r="I143" s="540" t="str">
        <f t="shared" si="11"/>
        <v/>
      </c>
      <c r="J143" s="540" t="str">
        <f t="shared" si="12"/>
        <v/>
      </c>
      <c r="K143" s="300"/>
      <c r="L143" s="284"/>
      <c r="Q143" s="520"/>
      <c r="R143" s="521"/>
      <c r="S143" s="526"/>
      <c r="W143" s="160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t="12.75" customHeight="1">
      <c r="B144" s="215" t="str">
        <f>Texte!A289</f>
        <v>Ganzpflanzen-Sorghum (2. Kultur)</v>
      </c>
      <c r="C144" s="299"/>
      <c r="D144" s="299"/>
      <c r="E144" s="299"/>
      <c r="F144" s="88"/>
      <c r="G144" s="4"/>
      <c r="H144" s="50"/>
      <c r="I144" s="540" t="str">
        <f t="shared" si="11"/>
        <v/>
      </c>
      <c r="J144" s="540" t="str">
        <f t="shared" si="12"/>
        <v/>
      </c>
      <c r="K144" s="300"/>
      <c r="L144" s="284"/>
      <c r="Q144" s="520"/>
      <c r="R144" s="521"/>
      <c r="S144" s="526"/>
      <c r="W144" s="160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t="12.75" customHeight="1">
      <c r="B145" s="215" t="str">
        <f>Texte!A290</f>
        <v>Futterrüben</v>
      </c>
      <c r="C145" s="299"/>
      <c r="D145" s="299"/>
      <c r="E145" s="299"/>
      <c r="F145" s="88"/>
      <c r="G145" s="4"/>
      <c r="H145" s="50"/>
      <c r="I145" s="540" t="str">
        <f t="shared" si="11"/>
        <v/>
      </c>
      <c r="J145" s="540" t="str">
        <f t="shared" si="12"/>
        <v/>
      </c>
      <c r="K145" s="300"/>
      <c r="L145" s="284"/>
      <c r="Q145" s="520"/>
      <c r="R145" s="521"/>
      <c r="S145" s="526" t="str">
        <f>IF(AND($H145=1,$Q145&gt;0),Texte!$A$318,IF(AND($H145=2,$Q145&gt;ROUND($J145,0)),Texte!$A$318,IF(AND($H145=3,$Q145&gt;ROUND($K145,0)),Texte!$A$318,"")))</f>
        <v/>
      </c>
      <c r="W145" s="160" t="b">
        <f t="shared" si="13"/>
        <v>0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t="12.75" customHeight="1">
      <c r="B146" s="215" t="str">
        <f>Texte!A291</f>
        <v>Zuckerrüben</v>
      </c>
      <c r="C146" s="299"/>
      <c r="D146" s="299"/>
      <c r="E146" s="299"/>
      <c r="F146" s="88"/>
      <c r="G146" s="4"/>
      <c r="H146" s="50"/>
      <c r="I146" s="301" t="str">
        <f t="shared" si="11"/>
        <v/>
      </c>
      <c r="J146" s="540" t="str">
        <f t="shared" si="12"/>
        <v/>
      </c>
      <c r="K146" s="540" t="str">
        <f>IF(H146=3,F146*G146/100,"")</f>
        <v/>
      </c>
      <c r="L146" s="284"/>
      <c r="Q146" s="520"/>
      <c r="R146" s="521"/>
      <c r="S146" s="526" t="str">
        <f>IF(AND($H146=1,$Q146&gt;0),Texte!$A$318,IF(AND($H146=2,$Q146&gt;ROUND($J146,0)),Texte!$A$318,IF(AND($H146=3,$Q146&gt;ROUND($K146,0)),Texte!$A$318,"")))</f>
        <v/>
      </c>
      <c r="W146" s="160" t="b">
        <f t="shared" si="13"/>
        <v>0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t="12.75" customHeight="1">
      <c r="B147" s="215" t="str">
        <f>Texte!A292</f>
        <v>Zuckerrübenschnitzel, frisch</v>
      </c>
      <c r="C147" s="299"/>
      <c r="D147" s="299"/>
      <c r="E147" s="299"/>
      <c r="F147" s="88"/>
      <c r="G147" s="4"/>
      <c r="H147" s="49">
        <v>2</v>
      </c>
      <c r="I147" s="302"/>
      <c r="J147" s="540">
        <f t="shared" si="12"/>
        <v>0</v>
      </c>
      <c r="K147" s="301"/>
      <c r="L147" s="284"/>
      <c r="Q147" s="520"/>
      <c r="R147" s="521"/>
      <c r="S147" s="526" t="str">
        <f>IF(AND($H147=1,$Q147&gt;0),Texte!$A$318,IF(AND($H147=2,$Q147&gt;ROUND($J147,0)),Texte!$A$318,IF(AND($H147=3,$Q147&gt;ROUND($K147,0)),Texte!$A$318,"")))</f>
        <v/>
      </c>
      <c r="W147" s="160" t="b">
        <f t="shared" si="13"/>
        <v>0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t="12.75" customHeight="1">
      <c r="B148" s="215" t="str">
        <f>Texte!A293</f>
        <v>Zuckerrübenschnitzel, siliert</v>
      </c>
      <c r="C148" s="299"/>
      <c r="D148" s="299"/>
      <c r="E148" s="299"/>
      <c r="F148" s="88"/>
      <c r="G148" s="4"/>
      <c r="H148" s="49">
        <v>2</v>
      </c>
      <c r="I148" s="302"/>
      <c r="J148" s="540">
        <f t="shared" si="12"/>
        <v>0</v>
      </c>
      <c r="K148" s="302"/>
      <c r="L148" s="284"/>
      <c r="Q148" s="520"/>
      <c r="R148" s="521"/>
      <c r="S148" s="526" t="str">
        <f>IF(AND($H148=1,$Q148&gt;0),Texte!$A$318,IF(AND($H148=2,$Q148&gt;ROUND($J148,0)),Texte!$A$318,IF(AND($H148=3,$Q148&gt;ROUND($K148,0)),Texte!$A$318,"")))</f>
        <v/>
      </c>
      <c r="W148" s="160" t="b">
        <f t="shared" si="13"/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t="12.75" customHeight="1">
      <c r="B149" s="215" t="str">
        <f>Texte!A295</f>
        <v>Rübenblätter</v>
      </c>
      <c r="C149" s="299"/>
      <c r="D149" s="299"/>
      <c r="E149" s="299"/>
      <c r="F149" s="88"/>
      <c r="G149" s="4"/>
      <c r="H149" s="49">
        <v>2</v>
      </c>
      <c r="I149" s="302"/>
      <c r="J149" s="540">
        <f t="shared" si="12"/>
        <v>0</v>
      </c>
      <c r="K149" s="303"/>
      <c r="L149" s="284"/>
      <c r="Q149" s="520"/>
      <c r="R149" s="521"/>
      <c r="S149" s="526" t="str">
        <f>IF(AND($H149=1,$Q149&gt;0),Texte!$A$318,IF(AND($H149=2,$Q149&gt;ROUND($J149,0)),Texte!$A$318,IF(AND($H149=3,$Q149&gt;ROUND($K149,0)),Texte!$A$318,"")))</f>
        <v/>
      </c>
      <c r="W149" s="160" t="b">
        <f t="shared" si="13"/>
        <v>0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t="12.75" customHeight="1">
      <c r="B150" s="215" t="str">
        <f>Texte!A296</f>
        <v>Kartoffeln</v>
      </c>
      <c r="C150" s="299"/>
      <c r="D150" s="299"/>
      <c r="E150" s="299"/>
      <c r="F150" s="88"/>
      <c r="G150" s="4"/>
      <c r="H150" s="50"/>
      <c r="I150" s="302"/>
      <c r="J150" s="540" t="str">
        <f t="shared" si="12"/>
        <v/>
      </c>
      <c r="K150" s="540" t="str">
        <f>IF(H150=3,F150*G150/100,"")</f>
        <v/>
      </c>
      <c r="L150" s="284"/>
      <c r="Q150" s="520"/>
      <c r="R150" s="521"/>
      <c r="S150" s="526" t="str">
        <f>IF(AND($H150=1,$Q150&gt;0),Texte!$A$318,IF(AND($H150=2,$Q150&gt;ROUND($J150,0)),Texte!$A$318,IF(AND($H150=3,$Q150&gt;ROUND($K150,0)),Texte!$A$318,"")))</f>
        <v/>
      </c>
      <c r="W150" s="160" t="b">
        <f t="shared" si="13"/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t="12.75" customHeight="1">
      <c r="B151" s="215" t="str">
        <f>Texte!A297</f>
        <v>Chicorée-Wurzeln</v>
      </c>
      <c r="C151" s="299"/>
      <c r="D151" s="299"/>
      <c r="E151" s="299"/>
      <c r="F151" s="88"/>
      <c r="G151" s="4"/>
      <c r="H151" s="49">
        <v>2</v>
      </c>
      <c r="I151" s="302"/>
      <c r="J151" s="540">
        <f t="shared" si="12"/>
        <v>0</v>
      </c>
      <c r="K151" s="301"/>
      <c r="L151" s="284"/>
      <c r="Q151" s="520"/>
      <c r="R151" s="521"/>
      <c r="S151" s="526" t="str">
        <f>IF(AND($H151=1,$Q151&gt;0),Texte!$A$318,IF(AND($H151=2,$Q151&gt;ROUND($J151,0)),Texte!$A$318,IF(AND($H151=3,$Q151&gt;ROUND($K151,0)),Texte!$A$318,"")))</f>
        <v/>
      </c>
      <c r="W151" s="160" t="b">
        <f t="shared" si="13"/>
        <v>0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t="12.75" customHeight="1">
      <c r="B152" s="215" t="str">
        <f>Texte!A298</f>
        <v>Abgang Obst- / Gemüseverwertung</v>
      </c>
      <c r="C152" s="299"/>
      <c r="D152" s="299"/>
      <c r="E152" s="299"/>
      <c r="F152" s="88"/>
      <c r="G152" s="4"/>
      <c r="H152" s="49">
        <v>2</v>
      </c>
      <c r="I152" s="302"/>
      <c r="J152" s="540">
        <f t="shared" si="12"/>
        <v>0</v>
      </c>
      <c r="K152" s="302"/>
      <c r="L152" s="284"/>
      <c r="Q152" s="520"/>
      <c r="R152" s="521"/>
      <c r="S152" s="526" t="str">
        <f>IF(AND($H152=1,$Q152&gt;0),Texte!$A$318,IF(AND($H152=2,$Q152&gt;ROUND($J152,0)),Texte!$A$318,IF(AND($H152=3,$Q152&gt;ROUND($K152,0)),Texte!$A$318,"")))</f>
        <v/>
      </c>
      <c r="W152" s="160" t="b">
        <f t="shared" si="13"/>
        <v>0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t="12.75" customHeight="1">
      <c r="B153" s="215" t="str">
        <f>Texte!A299</f>
        <v>Biertreber, frisch oder siliert</v>
      </c>
      <c r="C153" s="299"/>
      <c r="D153" s="299"/>
      <c r="E153" s="299"/>
      <c r="F153" s="88"/>
      <c r="G153" s="4"/>
      <c r="H153" s="49">
        <v>2</v>
      </c>
      <c r="I153" s="302"/>
      <c r="J153" s="540">
        <f t="shared" si="12"/>
        <v>0</v>
      </c>
      <c r="K153" s="302"/>
      <c r="L153" s="284"/>
      <c r="Q153" s="520"/>
      <c r="R153" s="521"/>
      <c r="S153" s="526" t="str">
        <f>IF(AND($H153=1,$Q153&gt;0),Texte!$A$318,IF(AND($H153=2,$Q153&gt;ROUND($J153,0)),Texte!$A$318,IF(AND($H153=3,$Q153&gt;ROUND($K153,0)),Texte!$A$318,"")))</f>
        <v/>
      </c>
      <c r="W153" s="160" t="b">
        <f t="shared" si="13"/>
        <v>0</v>
      </c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t="12.75" customHeight="1">
      <c r="B154" s="215" t="str">
        <f>Texte!A300</f>
        <v>Zufuhr von Stroh zur Verfütterung</v>
      </c>
      <c r="C154" s="299"/>
      <c r="D154" s="299"/>
      <c r="E154" s="299"/>
      <c r="F154" s="89"/>
      <c r="G154" s="53"/>
      <c r="H154" s="574">
        <v>2</v>
      </c>
      <c r="I154" s="302"/>
      <c r="J154" s="539">
        <f t="shared" si="12"/>
        <v>0</v>
      </c>
      <c r="K154" s="302"/>
      <c r="L154" s="284"/>
      <c r="Q154" s="575"/>
      <c r="R154" s="576"/>
      <c r="S154" s="526" t="str">
        <f>IF(AND($H154=1,$Q154&gt;0),Texte!$A$318,IF(AND($H154=2,$Q154&gt;ROUND($J154,0)),Texte!$A$318,IF(AND($H154=3,$Q154&gt;ROUND($K154,0)),Texte!$A$318,"")))</f>
        <v/>
      </c>
      <c r="W154" s="160" t="b">
        <f t="shared" si="13"/>
        <v>0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t="12.75" customHeight="1">
      <c r="B155" s="215" t="str">
        <f>Texte!A294</f>
        <v>Zuckerrübenschnitzel, getrocknet</v>
      </c>
      <c r="C155" s="299"/>
      <c r="D155" s="299"/>
      <c r="E155" s="299"/>
      <c r="F155" s="89"/>
      <c r="G155" s="53"/>
      <c r="H155" s="574">
        <v>2</v>
      </c>
      <c r="I155" s="302"/>
      <c r="J155" s="539">
        <f t="shared" si="12"/>
        <v>0</v>
      </c>
      <c r="K155" s="302"/>
      <c r="L155" s="284"/>
      <c r="Q155" s="575"/>
      <c r="R155" s="576"/>
      <c r="S155" s="526" t="str">
        <f>IF(AND($H155=1,$Q155&gt;0),Texte!$A$318,IF(AND($H155=2,$Q155&gt;ROUND($J155,0)),Texte!$A$318,IF(AND($H155=3,$Q155&gt;ROUND($K155,0)),Texte!$A$318,"")))</f>
        <v/>
      </c>
      <c r="W155" s="160" t="b">
        <f t="shared" si="13"/>
        <v>0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t="12.75" customHeight="1">
      <c r="B156" s="215" t="str">
        <f>Texte!A301</f>
        <v>Biertreber, getrocknet</v>
      </c>
      <c r="C156" s="299"/>
      <c r="D156" s="299"/>
      <c r="E156" s="299"/>
      <c r="F156" s="89"/>
      <c r="G156" s="53"/>
      <c r="H156" s="574">
        <v>2</v>
      </c>
      <c r="I156" s="302"/>
      <c r="J156" s="539">
        <f t="shared" si="12"/>
        <v>0</v>
      </c>
      <c r="K156" s="302"/>
      <c r="L156" s="284"/>
      <c r="Q156" s="575"/>
      <c r="R156" s="576"/>
      <c r="S156" s="526" t="str">
        <f>IF(AND($H156=1,$Q156&gt;0),Texte!$A$318,IF(AND($H156=2,$Q156&gt;ROUND($J156,0)),Texte!$A$318,IF(AND($H156=3,$Q156&gt;ROUND($K156,0)),Texte!$A$318,"")))</f>
        <v/>
      </c>
      <c r="W156" s="160" t="b">
        <f t="shared" si="13"/>
        <v>0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t="12.75" customHeight="1">
      <c r="B157" s="591" t="str">
        <f>Texte!A302</f>
        <v>Nebenprodukte Trocken- und Schälmüllerei</v>
      </c>
      <c r="C157" s="304"/>
      <c r="D157" s="304"/>
      <c r="E157" s="304"/>
      <c r="F157" s="90"/>
      <c r="G157" s="57"/>
      <c r="H157" s="58">
        <v>2</v>
      </c>
      <c r="I157" s="305"/>
      <c r="J157" s="541">
        <f t="shared" si="12"/>
        <v>0</v>
      </c>
      <c r="K157" s="305"/>
      <c r="L157" s="306"/>
      <c r="Q157" s="522"/>
      <c r="R157" s="523"/>
      <c r="S157" s="526" t="str">
        <f>IF(AND($H157=1,$Q157&gt;0),Texte!$A$318,IF(AND($H157=2,$Q157&gt;ROUND($J157,0)),Texte!$A$318,IF(AND($H157=3,$Q157&gt;ROUND($K157,0)),Texte!$A$318,"")))</f>
        <v/>
      </c>
      <c r="W157" s="160" t="b">
        <f t="shared" si="13"/>
        <v>0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t="9" customHeight="1">
      <c r="B158" s="184"/>
      <c r="F158" s="236"/>
      <c r="G158" s="236"/>
      <c r="H158" s="236"/>
      <c r="I158" s="236"/>
      <c r="J158" s="236"/>
      <c r="K158" s="236"/>
      <c r="L158" s="307"/>
      <c r="W158" s="160">
        <f>SUM(W137:W157)</f>
        <v>0</v>
      </c>
      <c r="X158" s="555" t="s">
        <v>302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t="12.75" customHeight="1">
      <c r="B159" s="198" t="str">
        <f>Texte!A303</f>
        <v>C1: Total Wegfuhr Wiesen und Weidefutter</v>
      </c>
      <c r="E159" s="236"/>
      <c r="F159" s="236"/>
      <c r="H159" s="278"/>
      <c r="I159" s="551">
        <f>SUM(I132:I136)</f>
        <v>0</v>
      </c>
      <c r="J159" s="278"/>
      <c r="K159" s="278"/>
      <c r="L159" s="547">
        <f>I159</f>
        <v>0</v>
      </c>
      <c r="M159" s="236" t="str">
        <f>Texte!A$271</f>
        <v>dt TS</v>
      </c>
      <c r="N159" s="236"/>
      <c r="O159" s="236"/>
      <c r="P159" s="236"/>
      <c r="Q159" s="236"/>
      <c r="R159" s="236"/>
      <c r="S159" s="236"/>
      <c r="T159" s="236"/>
      <c r="U159" s="2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t="12.75" customHeight="1">
      <c r="B160" s="198" t="str">
        <f>Texte!A304</f>
        <v>C2: Total Wegfuhr übrige Grundfutter</v>
      </c>
      <c r="E160" s="236"/>
      <c r="F160" s="236"/>
      <c r="G160" s="278" t="s">
        <v>754</v>
      </c>
      <c r="H160" s="236"/>
      <c r="I160" s="551">
        <f>SUM(I137:I157)</f>
        <v>0</v>
      </c>
      <c r="J160" s="308"/>
      <c r="K160" s="308"/>
      <c r="L160" s="547">
        <f>I160</f>
        <v>0</v>
      </c>
      <c r="M160" s="236" t="str">
        <f>Texte!A$271</f>
        <v>dt TS</v>
      </c>
      <c r="N160" s="236"/>
      <c r="O160" s="236"/>
      <c r="P160" s="236"/>
      <c r="Q160" s="236"/>
      <c r="R160" s="236"/>
      <c r="S160" s="236"/>
      <c r="T160" s="236"/>
      <c r="U160" s="30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50" ht="12.75" customHeight="1">
      <c r="B161" s="198" t="str">
        <f>Texte!A305</f>
        <v>C3: Total Zufuhr Wiesen- und Weidefutter</v>
      </c>
      <c r="E161" s="236"/>
      <c r="F161" s="236"/>
      <c r="G161" s="278"/>
      <c r="H161" s="236"/>
      <c r="I161" s="236"/>
      <c r="J161" s="547">
        <f>SUM(J132:J136)</f>
        <v>0</v>
      </c>
      <c r="K161" s="308"/>
      <c r="L161" s="547">
        <f>J161*-1</f>
        <v>0</v>
      </c>
      <c r="M161" s="236"/>
      <c r="N161" s="236"/>
      <c r="O161" s="236"/>
      <c r="P161" s="236"/>
      <c r="Q161" s="236"/>
      <c r="R161" s="236"/>
      <c r="S161" s="236"/>
      <c r="T161" s="236"/>
      <c r="U161" s="30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50" ht="12.75" customHeight="1">
      <c r="B162" s="198" t="str">
        <f>Texte!A306</f>
        <v>C4: Total Zufuhr übrige Grundfutter</v>
      </c>
      <c r="F162" s="236"/>
      <c r="G162" s="236"/>
      <c r="H162" s="278" t="s">
        <v>755</v>
      </c>
      <c r="I162" s="236"/>
      <c r="J162" s="547">
        <f>SUM(J137:J154)</f>
        <v>0</v>
      </c>
      <c r="L162" s="552">
        <f>J162*-1</f>
        <v>0</v>
      </c>
      <c r="M162" s="236" t="str">
        <f>Texte!A$271</f>
        <v>dt TS</v>
      </c>
      <c r="N162" s="236"/>
      <c r="O162" s="236"/>
      <c r="P162" s="236"/>
      <c r="Q162" s="236"/>
      <c r="R162" s="236"/>
      <c r="S162" s="236"/>
      <c r="T162" s="236"/>
      <c r="U162" s="30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50" ht="12.75" customHeight="1">
      <c r="B163" s="198" t="str">
        <f>Texte!A307</f>
        <v>C5: Grundfutterproduktion ausserhalb der Futterfläche</v>
      </c>
      <c r="F163" s="236"/>
      <c r="G163" s="236"/>
      <c r="H163" s="278"/>
      <c r="I163" s="236"/>
      <c r="J163" s="577"/>
      <c r="K163" s="547">
        <f>SUM(K132:K157)</f>
        <v>0</v>
      </c>
      <c r="L163" s="553">
        <f>K163*-1</f>
        <v>0</v>
      </c>
      <c r="M163" s="236"/>
      <c r="N163" s="236"/>
      <c r="O163" s="236"/>
      <c r="P163" s="236"/>
      <c r="Q163" s="236"/>
      <c r="R163" s="236"/>
      <c r="S163" s="236"/>
      <c r="T163" s="236"/>
      <c r="U163" s="30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50" ht="12.75" customHeight="1">
      <c r="B164" s="198" t="str">
        <f>Texte!A308</f>
        <v>C6: Total Zufuhr Nebenprodukte aus Verarbeitung Lebensmittel</v>
      </c>
      <c r="F164" s="236"/>
      <c r="G164" s="236"/>
      <c r="H164" s="278"/>
      <c r="I164" s="236"/>
      <c r="J164" s="547">
        <f>SUM(J155:J157)</f>
        <v>0</v>
      </c>
      <c r="L164" s="547">
        <f>J164*-1</f>
        <v>0</v>
      </c>
      <c r="M164" s="236"/>
      <c r="N164" s="236"/>
      <c r="O164" s="236"/>
      <c r="P164" s="236"/>
      <c r="Q164" s="236"/>
      <c r="R164" s="236"/>
      <c r="S164" s="236"/>
      <c r="T164" s="236"/>
      <c r="U164" s="30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50" ht="11.45" customHeight="1">
      <c r="B165" s="184"/>
      <c r="F165" s="236"/>
      <c r="G165" s="236"/>
      <c r="H165" s="236"/>
      <c r="I165" s="236"/>
      <c r="J165" s="236"/>
      <c r="K165" s="236"/>
      <c r="L165" s="307"/>
      <c r="M165" s="236"/>
      <c r="N165" s="236"/>
      <c r="O165" s="236"/>
      <c r="P165" s="236"/>
      <c r="Q165" s="236"/>
      <c r="R165" s="236"/>
      <c r="S165" s="236"/>
      <c r="T165" s="236"/>
      <c r="U165" s="2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50" ht="12.75" customHeight="1">
      <c r="B166" s="198" t="str">
        <f>Texte!A309</f>
        <v>Total Netto-Grundfutterbedarf</v>
      </c>
      <c r="C166" s="163"/>
      <c r="D166" s="163"/>
      <c r="E166" s="163"/>
      <c r="F166" s="236"/>
      <c r="G166" s="236"/>
      <c r="H166" s="236"/>
      <c r="I166" s="236"/>
      <c r="J166" s="236"/>
      <c r="K166" s="278" t="s">
        <v>757</v>
      </c>
      <c r="L166" s="552">
        <f>SUM(L128:L164)</f>
        <v>0</v>
      </c>
      <c r="M166" s="236" t="str">
        <f>Texte!A$271</f>
        <v>dt TS</v>
      </c>
      <c r="N166" s="236"/>
      <c r="O166" s="236"/>
      <c r="P166" s="236"/>
      <c r="Q166" s="236"/>
      <c r="R166" s="236"/>
      <c r="S166" s="236"/>
      <c r="T166" s="236"/>
      <c r="U166" s="236"/>
      <c r="W166" s="160" t="s">
        <v>1175</v>
      </c>
      <c r="X166" s="160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50" ht="12.75" customHeight="1">
      <c r="B167" s="184" t="str">
        <f>Texte!A310</f>
        <v>C7: Zuzüglich Lagerungs- und Krippenverluste, 0-5% vom Netto-Grundfutterbedarf</v>
      </c>
      <c r="C167" s="163"/>
      <c r="D167" s="163"/>
      <c r="E167" s="163"/>
      <c r="F167" s="236"/>
      <c r="G167" s="236"/>
      <c r="H167" s="236"/>
      <c r="I167" s="236"/>
      <c r="J167" s="236"/>
      <c r="K167" s="5"/>
      <c r="L167" s="547">
        <f>L166*K167/100</f>
        <v>0</v>
      </c>
      <c r="M167" s="236" t="str">
        <f>Texte!A$271</f>
        <v>dt TS</v>
      </c>
      <c r="N167" s="236"/>
      <c r="O167" s="236"/>
      <c r="P167" s="236"/>
      <c r="Q167" s="236"/>
      <c r="R167" s="236"/>
      <c r="S167" s="236"/>
      <c r="T167" s="236"/>
      <c r="W167" s="382" t="b">
        <f>OR(AND(L85=0,K167&lt;=2.5),AND(L85&gt;0,K167&lt;=5))</f>
        <v>1</v>
      </c>
      <c r="X167" s="160" t="s">
        <v>1187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50" ht="12.75" customHeight="1">
      <c r="B168" s="184" t="str">
        <f>Texte!A311</f>
        <v>C8: Fehlerbereich der Grundfutterbilanz: 0-5% vom Netto-Grundfutterbedarf</v>
      </c>
      <c r="C168" s="163"/>
      <c r="D168" s="163"/>
      <c r="E168" s="163"/>
      <c r="F168" s="236"/>
      <c r="G168" s="236"/>
      <c r="H168" s="236"/>
      <c r="I168" s="278"/>
      <c r="J168" s="236"/>
      <c r="K168" s="55"/>
      <c r="L168" s="547">
        <f>L166*K168/100</f>
        <v>0</v>
      </c>
      <c r="M168" s="236" t="str">
        <f>Texte!A$271</f>
        <v>dt TS</v>
      </c>
      <c r="N168" s="236"/>
      <c r="O168" s="236"/>
      <c r="P168" s="236"/>
      <c r="Q168" s="236"/>
      <c r="R168" s="236"/>
      <c r="S168" s="236"/>
      <c r="T168" s="236"/>
      <c r="U168" s="2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50" ht="12.75" customHeight="1">
      <c r="B169" s="204" t="str">
        <f>Texte!A312</f>
        <v>Total auf der Futterfläche zu produzierendes Grundfutter (GFprod)</v>
      </c>
      <c r="C169" s="205"/>
      <c r="D169" s="205"/>
      <c r="E169" s="205"/>
      <c r="F169" s="310"/>
      <c r="G169" s="310"/>
      <c r="H169" s="310"/>
      <c r="I169" s="310"/>
      <c r="J169" s="310"/>
      <c r="K169" s="205"/>
      <c r="L169" s="552">
        <f>SUM(L166:L168)</f>
        <v>0</v>
      </c>
      <c r="M169" s="236" t="str">
        <f>Texte!A$271</f>
        <v>dt TS</v>
      </c>
      <c r="N169" s="236"/>
      <c r="O169" s="236"/>
      <c r="P169" s="236"/>
      <c r="Q169" s="236"/>
      <c r="R169" s="236"/>
      <c r="S169" s="236"/>
      <c r="T169" s="236"/>
      <c r="U169" s="2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50" ht="11.45" customHeight="1">
      <c r="B170" s="185"/>
      <c r="C170" s="185"/>
      <c r="D170" s="185"/>
      <c r="AB170" s="47"/>
      <c r="AC170" s="47"/>
      <c r="AD170" s="128"/>
      <c r="AE170" s="128"/>
      <c r="AF170" s="125" t="s">
        <v>1172</v>
      </c>
      <c r="AG170" s="160">
        <v>0.3</v>
      </c>
      <c r="AH170" s="127"/>
      <c r="AI170" s="127"/>
      <c r="AJ170" s="47"/>
      <c r="AL170" s="136"/>
      <c r="AM170" s="13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5.75">
      <c r="B171" s="156" t="str">
        <f>Texte!A320</f>
        <v>Teil D: Bilanz</v>
      </c>
      <c r="C171" s="185"/>
      <c r="D171" s="185"/>
      <c r="E171" s="185"/>
      <c r="P171" s="601"/>
      <c r="Q171" s="156" t="str">
        <f>Texte!A353</f>
        <v>Bilanz für Mutterkuh &amp; Kalb</v>
      </c>
      <c r="Y171" s="160"/>
      <c r="Z171" s="160" t="s">
        <v>649</v>
      </c>
      <c r="AA171" s="160" t="s">
        <v>650</v>
      </c>
      <c r="AB171" s="160"/>
      <c r="AC171" s="160"/>
      <c r="AD171" s="128" t="s">
        <v>659</v>
      </c>
      <c r="AE171" s="160"/>
      <c r="AG171" s="124" t="s">
        <v>785</v>
      </c>
      <c r="AH171" s="124"/>
      <c r="AI171" s="124"/>
      <c r="AJ171" s="128"/>
      <c r="AL171" s="136"/>
      <c r="AM171" s="13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7.7" customHeight="1">
      <c r="P172" s="601"/>
      <c r="Y172" s="160"/>
      <c r="Z172" s="160"/>
      <c r="AA172" s="160"/>
      <c r="AB172" s="160"/>
      <c r="AC172" s="160"/>
      <c r="AD172" s="128"/>
      <c r="AE172" s="128"/>
      <c r="AG172" s="128"/>
      <c r="AH172" s="128"/>
      <c r="AI172" s="128"/>
      <c r="AJ172" s="128"/>
      <c r="AL172" s="45"/>
      <c r="AM172" s="45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2" customHeight="1">
      <c r="B173" s="298"/>
      <c r="C173" s="253"/>
      <c r="D173" s="253"/>
      <c r="E173" s="311"/>
      <c r="F173" s="312" t="str">
        <f>Texte!A332</f>
        <v>Total</v>
      </c>
      <c r="G173" s="313"/>
      <c r="H173" s="179" t="str">
        <f>Texte!A334</f>
        <v>Wiesen- und</v>
      </c>
      <c r="I173" s="181"/>
      <c r="J173" s="179" t="str">
        <f>Texte!A336</f>
        <v>Übriges Grundfutter</v>
      </c>
      <c r="K173" s="468"/>
      <c r="L173" s="468"/>
      <c r="M173" s="181"/>
      <c r="N173" s="312" t="str">
        <f>Texte!A340</f>
        <v>Kraftfutter</v>
      </c>
      <c r="O173" s="313"/>
      <c r="P173" s="601"/>
      <c r="Q173" s="505" t="str">
        <f>Texte!A354</f>
        <v>Total</v>
      </c>
      <c r="R173" s="505" t="str">
        <f>Texte!A356</f>
        <v>Wiesen- &amp;</v>
      </c>
      <c r="S173" s="505" t="str">
        <f>Texte!A359</f>
        <v>Übriges</v>
      </c>
      <c r="T173" s="505" t="str">
        <f>Texte!A362</f>
        <v>Kraftfutter</v>
      </c>
      <c r="Y173" s="160" t="s">
        <v>379</v>
      </c>
      <c r="Z173" s="160">
        <v>75</v>
      </c>
      <c r="AA173" s="314">
        <v>85</v>
      </c>
      <c r="AB173" s="128"/>
      <c r="AC173" s="128"/>
      <c r="AD173" s="128" t="str">
        <f>Texte!A244</f>
        <v>Talzone</v>
      </c>
      <c r="AE173" s="160">
        <v>1</v>
      </c>
      <c r="AG173" s="382">
        <f t="shared" ref="AG173:AG178" si="14">($AE173*C210)+(E210*AG$170*$AE173)</f>
        <v>0</v>
      </c>
      <c r="AH173" s="128"/>
      <c r="AI173" s="128"/>
      <c r="AJ173" s="128"/>
      <c r="AK173" s="45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50" ht="11.45" customHeight="1">
      <c r="B174" s="184"/>
      <c r="E174" s="174"/>
      <c r="F174" s="316" t="str">
        <f>Texte!A333</f>
        <v>Bedarf</v>
      </c>
      <c r="G174" s="317"/>
      <c r="H174" s="192" t="str">
        <f>Texte!A335</f>
        <v>Weidefutter</v>
      </c>
      <c r="I174" s="193"/>
      <c r="J174" s="192" t="str">
        <f>Texte!A338</f>
        <v>Rau- und Saftfutter</v>
      </c>
      <c r="K174" s="592"/>
      <c r="L174" s="472" t="str">
        <f>Texte!A339</f>
        <v>Nebenprodukte</v>
      </c>
      <c r="M174" s="193"/>
      <c r="N174" s="318"/>
      <c r="O174" s="206"/>
      <c r="P174" s="601"/>
      <c r="Q174" s="24" t="str">
        <f>Texte!A355</f>
        <v>Bedarf</v>
      </c>
      <c r="R174" s="24" t="str">
        <f>Texte!A357</f>
        <v>Weidefutter</v>
      </c>
      <c r="S174" s="24" t="str">
        <f>Texte!A360</f>
        <v xml:space="preserve">Grundfutter </v>
      </c>
      <c r="T174" s="24"/>
      <c r="Y174" s="160" t="s">
        <v>651</v>
      </c>
      <c r="Z174" s="160">
        <v>15</v>
      </c>
      <c r="AA174" s="314">
        <v>5</v>
      </c>
      <c r="AB174" s="128"/>
      <c r="AC174" s="128"/>
      <c r="AD174" s="128" t="str">
        <f>Texte!A245</f>
        <v>Hügelzone</v>
      </c>
      <c r="AE174" s="160">
        <v>0.8</v>
      </c>
      <c r="AG174" s="382">
        <f t="shared" si="14"/>
        <v>0</v>
      </c>
      <c r="AH174" s="128"/>
      <c r="AI174" s="128"/>
      <c r="AJ174" s="128"/>
      <c r="AK174" s="45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50" ht="11.45" customHeight="1">
      <c r="B175" s="184"/>
      <c r="E175" s="174"/>
      <c r="F175" s="578" t="s">
        <v>102</v>
      </c>
      <c r="G175" s="580"/>
      <c r="H175" s="579" t="s">
        <v>436</v>
      </c>
      <c r="I175" s="581"/>
      <c r="J175" s="579" t="s">
        <v>954</v>
      </c>
      <c r="K175" s="593"/>
      <c r="L175" s="594" t="s">
        <v>93</v>
      </c>
      <c r="M175" s="595"/>
      <c r="N175" s="582" t="str">
        <f>Texte!A341</f>
        <v>(A4+A7 in TS)</v>
      </c>
      <c r="O175" s="583"/>
      <c r="P175" s="601"/>
      <c r="Q175" s="290"/>
      <c r="R175" s="28" t="str">
        <f>Texte!A358</f>
        <v>.</v>
      </c>
      <c r="S175" s="28" t="str">
        <f>Texte!A361</f>
        <v>total</v>
      </c>
      <c r="T175" s="290"/>
      <c r="Y175" s="160" t="s">
        <v>652</v>
      </c>
      <c r="Z175" s="160">
        <v>10</v>
      </c>
      <c r="AA175" s="314">
        <v>10</v>
      </c>
      <c r="AB175" s="128"/>
      <c r="AC175" s="128"/>
      <c r="AD175" s="128" t="str">
        <f>Texte!A246</f>
        <v>Bergzone 1</v>
      </c>
      <c r="AE175" s="160">
        <v>0.7</v>
      </c>
      <c r="AG175" s="382">
        <f t="shared" si="14"/>
        <v>0</v>
      </c>
      <c r="AH175" s="128"/>
      <c r="AI175" s="128"/>
      <c r="AJ175" s="128"/>
      <c r="AK175" s="45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50" ht="11.45" customHeight="1">
      <c r="B176" s="194"/>
      <c r="C176" s="167"/>
      <c r="D176" s="167"/>
      <c r="E176" s="195"/>
      <c r="F176" s="207" t="s">
        <v>765</v>
      </c>
      <c r="G176" s="319" t="s">
        <v>766</v>
      </c>
      <c r="H176" s="207" t="s">
        <v>765</v>
      </c>
      <c r="I176" s="207" t="s">
        <v>767</v>
      </c>
      <c r="J176" s="207" t="s">
        <v>765</v>
      </c>
      <c r="K176" s="320" t="s">
        <v>766</v>
      </c>
      <c r="L176" s="207" t="s">
        <v>765</v>
      </c>
      <c r="M176" s="320" t="s">
        <v>766</v>
      </c>
      <c r="N176" s="321" t="s">
        <v>765</v>
      </c>
      <c r="O176" s="322" t="s">
        <v>767</v>
      </c>
      <c r="P176" s="601"/>
      <c r="Q176" s="207" t="s">
        <v>765</v>
      </c>
      <c r="R176" s="207" t="s">
        <v>765</v>
      </c>
      <c r="S176" s="207" t="s">
        <v>765</v>
      </c>
      <c r="T176" s="207" t="s">
        <v>765</v>
      </c>
      <c r="Y176" s="160" t="s">
        <v>1190</v>
      </c>
      <c r="Z176" s="160">
        <v>90</v>
      </c>
      <c r="AA176" s="314">
        <v>90</v>
      </c>
      <c r="AB176" s="128"/>
      <c r="AC176" s="128"/>
      <c r="AD176" s="128" t="str">
        <f>Texte!A247</f>
        <v>Bergzone 2</v>
      </c>
      <c r="AE176" s="160">
        <v>0.6</v>
      </c>
      <c r="AG176" s="382">
        <f t="shared" si="14"/>
        <v>0</v>
      </c>
      <c r="AH176" s="128"/>
      <c r="AI176" s="128"/>
      <c r="AJ176" s="128"/>
      <c r="AK176" s="45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t="11.45" customHeight="1">
      <c r="B177" s="259" t="str">
        <f>Texte!A321</f>
        <v>Gesamtverzehr</v>
      </c>
      <c r="C177" s="260"/>
      <c r="D177" s="260"/>
      <c r="E177" s="261"/>
      <c r="F177" s="550">
        <f>$N$89</f>
        <v>0</v>
      </c>
      <c r="G177" s="323"/>
      <c r="H177" s="535"/>
      <c r="I177" s="323"/>
      <c r="J177" s="535"/>
      <c r="K177" s="323"/>
      <c r="L177" s="535"/>
      <c r="M177" s="596"/>
      <c r="N177" s="550"/>
      <c r="O177" s="323"/>
      <c r="P177" s="601"/>
      <c r="Q177" s="550">
        <f>SUM(L51:L57,AA44)+SUM(M51:M57,AB44)*0.88</f>
        <v>0</v>
      </c>
      <c r="R177" s="325"/>
      <c r="S177" s="325"/>
      <c r="T177" s="325"/>
      <c r="Y177" s="584" t="s">
        <v>103</v>
      </c>
      <c r="Z177" s="584">
        <v>15</v>
      </c>
      <c r="AA177" s="585">
        <v>15</v>
      </c>
      <c r="AB177" s="128"/>
      <c r="AC177" s="128"/>
      <c r="AD177" s="128" t="str">
        <f>Texte!A248</f>
        <v>Bergzone 3</v>
      </c>
      <c r="AE177" s="160">
        <v>0.5</v>
      </c>
      <c r="AG177" s="382">
        <f t="shared" si="14"/>
        <v>0</v>
      </c>
      <c r="AH177" s="128"/>
      <c r="AI177" s="128"/>
      <c r="AJ177" s="163" t="str">
        <f>Texte!A384</f>
        <v>Grenzwerte:</v>
      </c>
      <c r="AK177" s="47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t="11.45" customHeight="1">
      <c r="B178" s="262" t="str">
        <f>Texte!A322</f>
        <v>[+] Verluste und Fehlerbereich</v>
      </c>
      <c r="C178" s="263"/>
      <c r="D178" s="263"/>
      <c r="E178" s="264"/>
      <c r="F178" s="535">
        <f>SUM($L$167:$L$168)</f>
        <v>0</v>
      </c>
      <c r="G178" s="325"/>
      <c r="H178" s="535"/>
      <c r="I178" s="325"/>
      <c r="J178" s="535"/>
      <c r="K178" s="325"/>
      <c r="L178" s="535"/>
      <c r="M178" s="597"/>
      <c r="N178" s="535"/>
      <c r="O178" s="325"/>
      <c r="P178" s="601"/>
      <c r="Q178" s="535" t="str">
        <f>IF(SUM(L51:L57,AA44)=0,"",SUM(L51:L57,AA44)/L86*F178)</f>
        <v/>
      </c>
      <c r="R178" s="325"/>
      <c r="S178" s="325"/>
      <c r="T178" s="325"/>
      <c r="Y178" s="324"/>
      <c r="Z178" s="160"/>
      <c r="AA178" s="160"/>
      <c r="AB178" s="128"/>
      <c r="AC178" s="128"/>
      <c r="AD178" s="128" t="str">
        <f>Texte!A249</f>
        <v>Bergzone 4</v>
      </c>
      <c r="AE178" s="160">
        <v>0.4</v>
      </c>
      <c r="AG178" s="382">
        <f t="shared" si="14"/>
        <v>0</v>
      </c>
      <c r="AH178" s="128"/>
      <c r="AI178" s="128"/>
      <c r="AJ178" s="413"/>
      <c r="AK178" s="414"/>
      <c r="AL178" s="355" t="str">
        <f>IF($V$11=1,Texte!A385,IF($V$11="",Texte!A388,Texte!A386))</f>
        <v>Keine Gebietszuteilung</v>
      </c>
      <c r="AM178" s="355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t="11.45" customHeight="1">
      <c r="B179" s="262" t="str">
        <f>Texte!A323</f>
        <v>[+] Verzehr während Sömmerung</v>
      </c>
      <c r="C179" s="263"/>
      <c r="D179" s="263"/>
      <c r="E179" s="264"/>
      <c r="F179" s="535">
        <f>L92+N93</f>
        <v>0</v>
      </c>
      <c r="G179" s="325"/>
      <c r="H179" s="535"/>
      <c r="I179" s="325"/>
      <c r="J179" s="535"/>
      <c r="K179" s="325"/>
      <c r="L179" s="535"/>
      <c r="M179" s="597"/>
      <c r="N179" s="535"/>
      <c r="O179" s="325"/>
      <c r="P179" s="601"/>
      <c r="Q179" s="535">
        <f>SUM(R51:R57, AC44)</f>
        <v>0</v>
      </c>
      <c r="R179" s="325"/>
      <c r="S179" s="325"/>
      <c r="T179" s="325"/>
      <c r="Y179" s="324"/>
      <c r="Z179" s="160"/>
      <c r="AA179" s="160"/>
      <c r="AB179" s="128"/>
      <c r="AC179" s="128"/>
      <c r="AD179" s="128"/>
      <c r="AE179" s="160"/>
      <c r="AG179" s="122"/>
      <c r="AH179" s="128"/>
      <c r="AI179" s="128"/>
      <c r="AJ179" s="184"/>
      <c r="AK179" s="47"/>
      <c r="AL179" s="474"/>
      <c r="AM179" s="199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t="11.45" customHeight="1">
      <c r="B180" s="262" t="str">
        <f>Texte!A324</f>
        <v>Produktion</v>
      </c>
      <c r="C180" s="263"/>
      <c r="D180" s="263"/>
      <c r="E180" s="264"/>
      <c r="F180" s="535"/>
      <c r="G180" s="325"/>
      <c r="H180" s="535">
        <f>$L$123</f>
        <v>0</v>
      </c>
      <c r="I180" s="325"/>
      <c r="J180" s="535">
        <f>$L$124</f>
        <v>0</v>
      </c>
      <c r="K180" s="325"/>
      <c r="L180" s="535"/>
      <c r="M180" s="597"/>
      <c r="N180" s="535"/>
      <c r="O180" s="325"/>
      <c r="P180" s="601"/>
      <c r="Q180" s="325"/>
      <c r="R180" s="540">
        <f>R185-R182</f>
        <v>0</v>
      </c>
      <c r="S180" s="540">
        <f>SUM(Q100:Q108)</f>
        <v>0</v>
      </c>
      <c r="T180" s="325"/>
      <c r="Y180" s="326"/>
      <c r="Z180" s="160"/>
      <c r="AA180" s="160"/>
      <c r="AB180" s="128"/>
      <c r="AC180" s="128"/>
      <c r="AD180" s="128"/>
      <c r="AE180" s="127"/>
      <c r="AG180" s="122"/>
      <c r="AH180" s="599">
        <f>I17</f>
        <v>0</v>
      </c>
      <c r="AI180" s="599">
        <f>L17</f>
        <v>0</v>
      </c>
      <c r="AJ180" s="184" t="str">
        <f>Texte!$A334</f>
        <v>Wiesen- und</v>
      </c>
      <c r="AK180" s="47"/>
      <c r="AL180" s="411" t="str">
        <f>IF($V$11=1,$Z$173,IF($V$11="","",$AA$173))</f>
        <v/>
      </c>
      <c r="AM180" s="412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t="12.95" customHeight="1">
      <c r="B181" s="262" t="str">
        <f>Texte!A325</f>
        <v>[+] Zufuhr</v>
      </c>
      <c r="C181" s="263"/>
      <c r="D181" s="263"/>
      <c r="E181" s="264"/>
      <c r="F181" s="535"/>
      <c r="G181" s="325"/>
      <c r="H181" s="535">
        <f>$J$161</f>
        <v>0</v>
      </c>
      <c r="I181" s="325"/>
      <c r="J181" s="535">
        <f>SUM($J$162,$K$163)</f>
        <v>0</v>
      </c>
      <c r="K181" s="325"/>
      <c r="L181" s="535">
        <f>J164</f>
        <v>0</v>
      </c>
      <c r="M181" s="597"/>
      <c r="N181" s="535">
        <f>$N$88*0.88</f>
        <v>0</v>
      </c>
      <c r="O181" s="325"/>
      <c r="P181" s="601"/>
      <c r="Q181" s="325"/>
      <c r="R181" s="325"/>
      <c r="S181" s="535">
        <f>SUM(Q137:Q157)</f>
        <v>0</v>
      </c>
      <c r="T181" s="540">
        <f>SUM(M51:M57,AB44)*0.88</f>
        <v>0</v>
      </c>
      <c r="Y181" s="128" t="s">
        <v>551</v>
      </c>
      <c r="Z181" s="160" t="s">
        <v>649</v>
      </c>
      <c r="AA181" s="160" t="s">
        <v>650</v>
      </c>
      <c r="AB181" s="128"/>
      <c r="AC181" s="128"/>
      <c r="AD181" s="128"/>
      <c r="AE181" s="128"/>
      <c r="AG181" s="250"/>
      <c r="AH181" s="128"/>
      <c r="AI181" s="128"/>
      <c r="AJ181" s="215" t="str">
        <f>Texte!$A335</f>
        <v>Weidefutter</v>
      </c>
      <c r="AK181" s="299"/>
      <c r="AL181" s="357"/>
      <c r="AM181" s="358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t="12.95" customHeight="1">
      <c r="B182" s="262" t="str">
        <f>Texte!A326</f>
        <v>[+] Futter während Sömmerung</v>
      </c>
      <c r="C182" s="263"/>
      <c r="D182" s="263"/>
      <c r="E182" s="264"/>
      <c r="F182" s="535"/>
      <c r="G182" s="325"/>
      <c r="H182" s="535">
        <f>L92</f>
        <v>0</v>
      </c>
      <c r="I182" s="325"/>
      <c r="J182" s="535"/>
      <c r="K182" s="325"/>
      <c r="L182" s="535"/>
      <c r="M182" s="597"/>
      <c r="N182" s="535">
        <f>N93</f>
        <v>0</v>
      </c>
      <c r="O182" s="325"/>
      <c r="P182" s="601"/>
      <c r="Q182" s="325"/>
      <c r="R182" s="540">
        <f>SUM(R51:R57,AC44)</f>
        <v>0</v>
      </c>
      <c r="S182" s="325"/>
      <c r="T182" s="325"/>
      <c r="Y182" s="128"/>
      <c r="Z182" s="160"/>
      <c r="AA182" s="160"/>
      <c r="AB182" s="128"/>
      <c r="AC182" s="128"/>
      <c r="AD182" s="128"/>
      <c r="AE182" s="128"/>
      <c r="AG182" s="250"/>
      <c r="AH182" s="128"/>
      <c r="AI182" s="128"/>
      <c r="AJ182" s="184"/>
      <c r="AK182" s="47"/>
      <c r="AL182" s="411"/>
      <c r="AM182" s="412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t="12.95" customHeight="1">
      <c r="B183" s="262" t="str">
        <f>Texte!A327</f>
        <v>[-] Wegfuhr</v>
      </c>
      <c r="C183" s="263"/>
      <c r="D183" s="263"/>
      <c r="E183" s="264"/>
      <c r="F183" s="540"/>
      <c r="G183" s="325"/>
      <c r="H183" s="540">
        <f>$I$159*-1</f>
        <v>0</v>
      </c>
      <c r="I183" s="325"/>
      <c r="J183" s="540">
        <f>$I$160*-1</f>
        <v>0</v>
      </c>
      <c r="K183" s="325"/>
      <c r="L183" s="540"/>
      <c r="M183" s="597"/>
      <c r="N183" s="540"/>
      <c r="O183" s="325"/>
      <c r="P183" s="601"/>
      <c r="Q183" s="325"/>
      <c r="R183" s="325"/>
      <c r="S183" s="325"/>
      <c r="T183" s="325"/>
      <c r="Y183" s="128" t="s">
        <v>1189</v>
      </c>
      <c r="Z183" s="382" t="str">
        <f>IF(AND($V$11=1,$I$185&gt;=$Z$173),"ok","nein")</f>
        <v>nein</v>
      </c>
      <c r="AA183" s="382" t="str">
        <f>IF(AND($V$11=2,$I$185&gt;=$AA$173),"ok","nein")</f>
        <v>nein</v>
      </c>
      <c r="AB183" s="128"/>
      <c r="AC183" s="128"/>
      <c r="AD183" s="128" t="s">
        <v>552</v>
      </c>
      <c r="AE183" s="122"/>
      <c r="AF183" s="161"/>
      <c r="AG183" s="382" t="str">
        <f>IF($J$120=0,"",SUM($AG$173:$AG$178)/$J$120)</f>
        <v/>
      </c>
      <c r="AH183" s="128"/>
      <c r="AI183" s="128"/>
      <c r="AJ183" s="353" t="str">
        <f>Texte!$A340</f>
        <v>Kraftfutter</v>
      </c>
      <c r="AK183" s="354"/>
      <c r="AL183" s="402" t="str">
        <f>IF($V$11=1,$Z$175,IF($V$11="","",$AA$175))</f>
        <v/>
      </c>
      <c r="AM183" s="359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t="12.95" customHeight="1" thickBot="1">
      <c r="B184" s="385" t="str">
        <f>Texte!A328</f>
        <v>[-] Grundfutter übrige Tiere</v>
      </c>
      <c r="C184" s="386"/>
      <c r="D184" s="386"/>
      <c r="E184" s="387"/>
      <c r="F184" s="554"/>
      <c r="G184" s="327"/>
      <c r="H184" s="539">
        <f>$M$82*-1</f>
        <v>0</v>
      </c>
      <c r="I184" s="327"/>
      <c r="J184" s="539">
        <f>$L$82*-1-($M$82*-1)</f>
        <v>0</v>
      </c>
      <c r="K184" s="325"/>
      <c r="L184" s="539"/>
      <c r="M184" s="597"/>
      <c r="N184" s="549"/>
      <c r="O184" s="327"/>
      <c r="P184" s="601"/>
      <c r="Q184" s="325"/>
      <c r="R184" s="325"/>
      <c r="S184" s="325"/>
      <c r="T184" s="325"/>
      <c r="Y184" s="586" t="s">
        <v>550</v>
      </c>
      <c r="Z184" s="587" t="str">
        <f>IF(AND($V$11=1,$I$185+$M$185+$K$185&gt;=$Z$176,$I$185&gt;=$Z$173),"ok","nein")</f>
        <v>nein</v>
      </c>
      <c r="AA184" s="587" t="str">
        <f>IF(AND($V$11=2,$I$185+$M$185+$K$185&gt;=$AA$176,$I$185&gt;=$AA$173),"ok","nein")</f>
        <v>nein</v>
      </c>
      <c r="AB184" s="128"/>
      <c r="AC184" s="128"/>
      <c r="AD184" s="128"/>
      <c r="AE184" s="128"/>
      <c r="AF184" s="161"/>
      <c r="AG184" s="161"/>
      <c r="AH184" s="159"/>
      <c r="AJ184" s="353" t="str">
        <f>Texte!$A389</f>
        <v>Grundfutter</v>
      </c>
      <c r="AK184" s="409"/>
      <c r="AL184" s="402" t="str">
        <f>IF($V$11=1,$Z$176,IF($V$11="","",$AA$176))</f>
        <v/>
      </c>
      <c r="AM184" s="359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t="12.95" customHeight="1" thickBot="1">
      <c r="B185" s="328" t="str">
        <f>Texte!A329</f>
        <v xml:space="preserve">Bilanz                                      </v>
      </c>
      <c r="C185" s="329"/>
      <c r="D185" s="329"/>
      <c r="E185" s="330"/>
      <c r="F185" s="389">
        <f>SUM($F$177:$F$184)</f>
        <v>0</v>
      </c>
      <c r="G185" s="390">
        <v>100</v>
      </c>
      <c r="H185" s="391">
        <f>SUM($H$180:$H$184)</f>
        <v>0</v>
      </c>
      <c r="I185" s="331" t="str">
        <f>IF($F$185=0,"",ROUND($H$185/$F$185*100,1))</f>
        <v/>
      </c>
      <c r="J185" s="392">
        <f>SUM($J$180:$J$184)</f>
        <v>0</v>
      </c>
      <c r="K185" s="331" t="str">
        <f>IF(OR($J$185&lt;0,$F$185=0),"",ROUND($J$185/$F$185*100,1))</f>
        <v/>
      </c>
      <c r="L185" s="392">
        <f>SUM($L$180:$L$184)</f>
        <v>0</v>
      </c>
      <c r="M185" s="331" t="str">
        <f>IF(OR($L$185&lt;0,$F$185=0),"",ROUND($L$185/$F$185*100,1))</f>
        <v/>
      </c>
      <c r="N185" s="391">
        <f>SUM($N$180:$N$184)</f>
        <v>0</v>
      </c>
      <c r="O185" s="332" t="str">
        <f>IF($F$185=0,"",ROUND($N$185/$F$185*100,1))</f>
        <v/>
      </c>
      <c r="P185" s="601"/>
      <c r="Q185" s="506">
        <f>SUM(Q177:Q184)</f>
        <v>0</v>
      </c>
      <c r="R185" s="389">
        <f>Q185-S185-T185</f>
        <v>0</v>
      </c>
      <c r="S185" s="389">
        <f>SUM(S177:S184)</f>
        <v>0</v>
      </c>
      <c r="T185" s="507">
        <f>SUM(T177:T184)</f>
        <v>0</v>
      </c>
      <c r="Y185" s="128" t="s">
        <v>652</v>
      </c>
      <c r="Z185" s="382" t="str">
        <f>IF(AND($V$11=1,$O$185&lt;=$Z$175),"ok","nein")</f>
        <v>nein</v>
      </c>
      <c r="AA185" s="382" t="str">
        <f>IF(AND($V$11=2,$O$185&lt;=$AA$175),"ok","nein")</f>
        <v>nein</v>
      </c>
      <c r="AB185" s="128"/>
      <c r="AC185" s="128"/>
      <c r="AD185" s="128"/>
      <c r="AE185" s="168"/>
      <c r="AF185" s="667"/>
      <c r="AG185" s="667"/>
      <c r="AH185" s="667"/>
      <c r="AI185" s="667"/>
      <c r="AJ185" s="194" t="str">
        <f>Texte!$A337</f>
        <v>total</v>
      </c>
      <c r="AK185" s="195"/>
      <c r="AL185" s="415"/>
      <c r="AM185" s="410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t="12.95" customHeight="1" thickBot="1">
      <c r="B186" s="334" t="str">
        <f>Texte!A330</f>
        <v>Erforderliche Anteile an der Ration</v>
      </c>
      <c r="C186" s="335"/>
      <c r="D186" s="335"/>
      <c r="E186" s="336"/>
      <c r="F186" s="127"/>
      <c r="G186" s="163"/>
      <c r="H186" s="126" t="s">
        <v>47</v>
      </c>
      <c r="I186" s="388" t="str">
        <f>IF($V$11=1,$Z$173,IF($V$11=2,$AA$173,""))</f>
        <v/>
      </c>
      <c r="J186" s="127"/>
      <c r="K186" s="127"/>
      <c r="L186" s="274" t="str">
        <f>Texte!A331</f>
        <v>Nebenprodukte+Kraftfutter ≤</v>
      </c>
      <c r="M186" s="388">
        <v>15</v>
      </c>
      <c r="N186" s="274" t="s">
        <v>48</v>
      </c>
      <c r="O186" s="388">
        <f>$Z$175</f>
        <v>10</v>
      </c>
      <c r="P186" s="236"/>
      <c r="Q186" s="331">
        <v>100</v>
      </c>
      <c r="R186" s="331" t="str">
        <f>IF($Q$185=0,"",ROUND($R$185/$Q$185*100,1))</f>
        <v/>
      </c>
      <c r="S186" s="331" t="str">
        <f>IF(OR($S$185&lt;0,$Q$185=0),"",ROUND($S$185/$Q$185*100,1))</f>
        <v/>
      </c>
      <c r="T186" s="331" t="str">
        <f>IF($Q$185=0,"",ROUND($T$185/$Q$185*100,1))</f>
        <v/>
      </c>
      <c r="Y186" s="586" t="s">
        <v>1188</v>
      </c>
      <c r="Z186" s="587" t="str">
        <f>IF(AND($Z$183="ok",$Z$184="ok",$Z$185="ok",$Z$187="ok"),"io","n. io")</f>
        <v>n. io</v>
      </c>
      <c r="AA186" s="587" t="str">
        <f>IF(AND($AA$183="ok",$AA$184="ok",$AA$185="ok",$AA$187="ok"),"io","n. io")</f>
        <v>n. io</v>
      </c>
      <c r="AB186" s="128"/>
      <c r="AC186" s="128"/>
      <c r="AD186" s="128"/>
      <c r="AE186" s="168"/>
      <c r="AF186" s="333"/>
      <c r="AG186" s="333"/>
      <c r="AH186" s="333"/>
      <c r="AI186" s="333"/>
      <c r="AJ186" s="45"/>
      <c r="AK186" s="45"/>
      <c r="AL186" s="356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t="12.75" customHeight="1" thickBot="1">
      <c r="B187" s="337"/>
      <c r="C187" s="127"/>
      <c r="D187" s="127"/>
      <c r="E187" s="127"/>
      <c r="F187" s="466" t="str">
        <f>IF(OR(H185&lt;0,J185&lt;0,N185&lt;0),Texte!A343,"")</f>
        <v/>
      </c>
      <c r="G187" s="383"/>
      <c r="H187" s="127"/>
      <c r="I187" s="338"/>
      <c r="J187" s="154"/>
      <c r="K187" s="154"/>
      <c r="L187" s="154"/>
      <c r="N187" s="247"/>
      <c r="O187" s="351" t="str">
        <f>IF($V$11="",Texte!A388,"")</f>
        <v>Keine Gebietszuteilung</v>
      </c>
      <c r="P187" s="351"/>
      <c r="Y187" s="588" t="s">
        <v>103</v>
      </c>
      <c r="Z187" s="587" t="str">
        <f>IF(AND($V$11=1,$O$185+$M$185&lt;=$Z$177),"ok","nein")</f>
        <v>nein</v>
      </c>
      <c r="AA187" s="587" t="str">
        <f>IF(AND($V$11=2,$O$185+$M$185&lt;=$AA$177),"ok","nein")</f>
        <v>nein</v>
      </c>
      <c r="AB187" s="128"/>
      <c r="AC187" s="128"/>
      <c r="AD187" s="128"/>
      <c r="AE187" s="168"/>
      <c r="AF187" s="333"/>
      <c r="AG187" s="333"/>
      <c r="AH187" s="333"/>
      <c r="AI187" s="333"/>
      <c r="AJ187" s="47"/>
      <c r="AK187" s="45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t="7.5" customHeight="1">
      <c r="B188" s="340"/>
      <c r="C188" s="341"/>
      <c r="D188" s="341"/>
      <c r="E188" s="341"/>
      <c r="F188" s="343"/>
      <c r="G188" s="341"/>
      <c r="H188" s="343"/>
      <c r="I188" s="342"/>
      <c r="J188" s="343"/>
      <c r="K188" s="343"/>
      <c r="L188" s="343"/>
      <c r="M188" s="342"/>
      <c r="N188" s="342"/>
      <c r="O188" s="344"/>
      <c r="P188" s="129"/>
      <c r="Q188" s="340"/>
      <c r="R188" s="342"/>
      <c r="S188" s="342"/>
      <c r="T188" s="344"/>
      <c r="Y188" s="128"/>
      <c r="Z188" s="160"/>
      <c r="AA188" s="160"/>
      <c r="AB188" s="128"/>
      <c r="AC188" s="128"/>
      <c r="AD188" s="128"/>
      <c r="AE188" s="168"/>
      <c r="AF188" s="333"/>
      <c r="AG188" s="333"/>
      <c r="AH188" s="333"/>
      <c r="AI188" s="333"/>
      <c r="AJ188" s="45"/>
      <c r="AK188" s="45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t="12.95" customHeight="1">
      <c r="B189" s="393" t="str">
        <f>Texte!A344</f>
        <v>Erfüllung der erforderlichen Anteile an der Ration</v>
      </c>
      <c r="C189" s="163"/>
      <c r="D189" s="163"/>
      <c r="G189" s="163"/>
      <c r="H189" s="127"/>
      <c r="I189" s="127"/>
      <c r="J189" s="127"/>
      <c r="K189" s="127"/>
      <c r="L189" s="127"/>
      <c r="M189" s="127"/>
      <c r="N189" s="127"/>
      <c r="O189" s="634" t="str">
        <f>IF($V$11=1,IF($Z$186="n. io",Texte!$A$347,Texte!$A$346),IF($AA$186="n. io",Texte!$A$347,Texte!$A$346))</f>
        <v xml:space="preserve">    nein</v>
      </c>
      <c r="P189" s="129"/>
      <c r="Q189" s="393" t="str">
        <f>Texte!A363</f>
        <v>Erfüllung Mutterkuh &amp; Kalb</v>
      </c>
      <c r="R189" s="127"/>
      <c r="S189" s="127"/>
      <c r="T189" s="634" t="str">
        <f>IF(Z204=1,IF(Z203="nein",Texte!$A$367,IF($V$11=1,IF($Z$201="n. io",Texte!$A$347,Texte!$A$346),IF($AA$201="n. io",Texte!$A$347,Texte!$A$346))),Texte!A368)</f>
        <v xml:space="preserve">    nein</v>
      </c>
      <c r="Y189" s="160"/>
      <c r="Z189" s="122"/>
      <c r="AA189" s="160"/>
      <c r="AB189" s="128"/>
      <c r="AC189" s="128"/>
      <c r="AD189" s="128"/>
      <c r="AE189" s="168"/>
      <c r="AF189" s="333"/>
      <c r="AG189" s="333"/>
      <c r="AH189" s="333"/>
      <c r="AI189" s="333"/>
      <c r="AJ189" s="45"/>
      <c r="AK189" s="45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t="7.5" customHeight="1" thickBot="1">
      <c r="B190" s="394"/>
      <c r="C190" s="395"/>
      <c r="D190" s="395"/>
      <c r="E190" s="142"/>
      <c r="F190" s="142"/>
      <c r="G190" s="395"/>
      <c r="H190" s="396"/>
      <c r="I190" s="396"/>
      <c r="J190" s="396"/>
      <c r="K190" s="396"/>
      <c r="L190" s="396"/>
      <c r="M190" s="396"/>
      <c r="N190" s="396"/>
      <c r="O190" s="345"/>
      <c r="P190" s="129"/>
      <c r="Q190" s="394"/>
      <c r="R190" s="396"/>
      <c r="S190" s="396"/>
      <c r="T190" s="345"/>
      <c r="Y190" s="160"/>
      <c r="Z190" s="122"/>
      <c r="AA190" s="160"/>
      <c r="AB190" s="128"/>
      <c r="AC190" s="128"/>
      <c r="AD190" s="128"/>
      <c r="AE190" s="168"/>
      <c r="AF190" s="333"/>
      <c r="AG190" s="333"/>
      <c r="AH190" s="333"/>
      <c r="AI190" s="333"/>
      <c r="AJ190" s="45"/>
      <c r="AK190" s="45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t="12.95" customHeight="1">
      <c r="B191" s="341"/>
      <c r="C191" s="341"/>
      <c r="D191" s="341"/>
      <c r="E191" s="342"/>
      <c r="F191" s="342"/>
      <c r="G191" s="341"/>
      <c r="H191" s="343"/>
      <c r="I191" s="343"/>
      <c r="J191" s="343"/>
      <c r="K191" s="343"/>
      <c r="L191" s="343"/>
      <c r="M191" s="343"/>
      <c r="N191" s="343"/>
      <c r="O191" s="397"/>
      <c r="P191" s="129"/>
      <c r="Y191" s="160"/>
      <c r="Z191" s="384"/>
      <c r="AA191" s="160"/>
      <c r="AB191" s="128"/>
      <c r="AC191" s="128"/>
      <c r="AD191" s="128"/>
      <c r="AE191" s="168"/>
      <c r="AF191" s="333"/>
      <c r="AG191" s="333"/>
      <c r="AH191" s="333"/>
      <c r="AI191" s="333"/>
      <c r="AJ191" s="45"/>
      <c r="AK191" s="45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t="15.75" customHeight="1">
      <c r="Q192" s="156" t="str">
        <f>Texte!A366</f>
        <v>Bilanz übrige Raufutterverzehrer</v>
      </c>
      <c r="Y192" s="160" t="s">
        <v>553</v>
      </c>
      <c r="Z192" s="382">
        <f>IF(O189=Texte!A346,1,2)</f>
        <v>2</v>
      </c>
      <c r="AA192" s="160" t="s">
        <v>1191</v>
      </c>
      <c r="AB192" s="128"/>
      <c r="AC192" s="128"/>
      <c r="AD192" s="128"/>
      <c r="AE192" s="160"/>
      <c r="AF192" s="161"/>
      <c r="AG192" s="161"/>
      <c r="AH192" s="159"/>
      <c r="AJ192" s="45"/>
      <c r="AK192" s="45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50" ht="5.25" customHeight="1" thickBot="1">
      <c r="Y193" s="160"/>
      <c r="Z193" s="382">
        <f>IF(O220=Texte!A346,1,2)</f>
        <v>2</v>
      </c>
      <c r="AA193" s="160" t="s">
        <v>1192</v>
      </c>
      <c r="AB193" s="128"/>
      <c r="AC193" s="128"/>
      <c r="AD193" s="128"/>
      <c r="AE193" s="160"/>
      <c r="AF193" s="161"/>
      <c r="AG193" s="161"/>
      <c r="AH193" s="159"/>
      <c r="AJ193" s="45"/>
      <c r="AK193" s="45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50" ht="12.95" customHeight="1" thickBot="1">
      <c r="B194" s="346" t="str">
        <f>Texte!A350</f>
        <v>Ort und Datum:</v>
      </c>
      <c r="C194" s="59"/>
      <c r="D194" s="60"/>
      <c r="E194" s="60"/>
      <c r="F194" s="60"/>
      <c r="G194" s="60"/>
      <c r="I194" s="210" t="str">
        <f>Texte!A351</f>
        <v>Unterschrift:</v>
      </c>
      <c r="J194" s="59"/>
      <c r="K194" s="59"/>
      <c r="L194" s="59"/>
      <c r="M194" s="60"/>
      <c r="N194" s="60"/>
      <c r="O194" s="60"/>
      <c r="P194" s="602"/>
      <c r="Q194" s="506" t="str">
        <f>IF(Q177&lt;&gt;F177,(F185-Q185)/(F185-Q185)*100,"0")</f>
        <v>0</v>
      </c>
      <c r="R194" s="389" t="str">
        <f>IF(Q177&lt;&gt;F177,(H185-R185)/(F185-Q185)*100,"0")</f>
        <v>0</v>
      </c>
      <c r="S194" s="389" t="str">
        <f>IF(Q177&lt;&gt;F177,(J185+L185-S185)/(F185-Q185)*100,"0")</f>
        <v>0</v>
      </c>
      <c r="T194" s="507" t="str">
        <f>IF(Q177&lt;&gt;F177,(N185-T185)/(F185-Q185)*100,"0")</f>
        <v>0</v>
      </c>
      <c r="Y194" s="160"/>
      <c r="Z194" s="382">
        <f>IF(T189=Texte!A346,1,2)</f>
        <v>2</v>
      </c>
      <c r="AA194" s="160" t="s">
        <v>872</v>
      </c>
      <c r="AB194" s="160"/>
      <c r="AC194" s="160"/>
      <c r="AD194" s="160"/>
      <c r="AE194" s="168"/>
      <c r="AG194" s="47"/>
      <c r="AH194" s="127"/>
      <c r="AI194" s="127"/>
      <c r="AJ194" s="47"/>
      <c r="AL194" s="45"/>
      <c r="AM194" s="45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2.95" customHeight="1">
      <c r="Q195" s="136" t="str">
        <f>IF(Q177&lt;&gt;F177,(F185-Q185),"0")</f>
        <v>0</v>
      </c>
      <c r="R195" s="136" t="str">
        <f>IF(Q177&lt;&gt;F177,(H185-R185),"0")</f>
        <v>0</v>
      </c>
      <c r="S195" s="136" t="str">
        <f>IF(Q177&lt;&gt;F177,(J185-S185),"0")</f>
        <v>0</v>
      </c>
      <c r="T195" s="136" t="str">
        <f>IF(Q177&lt;&gt;F177,(N185-T185),"0")</f>
        <v>0</v>
      </c>
      <c r="AB195" s="47"/>
      <c r="AC195" s="47"/>
      <c r="AD195" s="47"/>
      <c r="AE195" s="347"/>
      <c r="AG195" s="47"/>
      <c r="AH195" s="127"/>
      <c r="AI195" s="127"/>
      <c r="AJ195" s="47"/>
      <c r="AL195" s="45"/>
      <c r="AM195" s="45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1.45" customHeight="1">
      <c r="B196" s="348" t="str">
        <f>Texte!A349</f>
        <v>Dieses Instrument dient als Nachweis für die Erfüllung der Anforderungen an die Futterbilanz für das Programm der GMF.</v>
      </c>
      <c r="Q196" s="136">
        <f>Q195+Q185</f>
        <v>0</v>
      </c>
      <c r="R196" s="136">
        <f>R195+R185</f>
        <v>0</v>
      </c>
      <c r="S196" s="136">
        <f>S195+S185</f>
        <v>0</v>
      </c>
      <c r="T196" s="136">
        <f>T195+T185</f>
        <v>0</v>
      </c>
      <c r="Y196" s="128" t="s">
        <v>833</v>
      </c>
      <c r="Z196" s="160" t="s">
        <v>649</v>
      </c>
      <c r="AA196" s="160" t="s">
        <v>650</v>
      </c>
      <c r="AB196" s="47"/>
      <c r="AC196" s="47"/>
      <c r="AE196" s="127"/>
      <c r="AG196" s="47"/>
      <c r="AH196" s="127"/>
      <c r="AI196" s="127"/>
      <c r="AJ196" s="47"/>
      <c r="AL196" s="136"/>
      <c r="AM196" s="13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1.45" customHeight="1">
      <c r="Y197" s="128"/>
      <c r="Z197" s="160"/>
      <c r="AA197" s="160"/>
      <c r="AB197" s="47"/>
      <c r="AC197" s="47"/>
      <c r="AD197" s="47"/>
      <c r="AE197" s="127"/>
      <c r="AG197" s="47"/>
      <c r="AH197" s="127"/>
      <c r="AI197" s="127"/>
      <c r="AJ197" s="47"/>
      <c r="AL197" s="136"/>
      <c r="AM197" s="13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>
      <c r="B198" s="364"/>
      <c r="Y198" s="128" t="s">
        <v>1189</v>
      </c>
      <c r="Z198" s="382" t="str">
        <f>IF(AND($V$11=1,R186&gt;=$Z$173),"ok","nein")</f>
        <v>nein</v>
      </c>
      <c r="AA198" s="382" t="str">
        <f>IF(AND($V$11=2,$R$186&gt;=$AA$173),"ok","nein")</f>
        <v>nein</v>
      </c>
      <c r="AB198" s="47"/>
      <c r="AC198" s="47"/>
      <c r="AE198" s="127"/>
      <c r="AG198" s="47"/>
      <c r="AH198" s="127"/>
      <c r="AI198" s="127"/>
      <c r="AJ198" s="47"/>
      <c r="AL198" s="136"/>
      <c r="AM198" s="13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>
      <c r="Y199" s="128" t="s">
        <v>550</v>
      </c>
      <c r="Z199" s="382" t="str">
        <f>IF(AND($V$11=1,$R$186+$S$186&gt;=$Z$176,$R$186&gt;=$Z$173),"ok","nein")</f>
        <v>nein</v>
      </c>
      <c r="AA199" s="382" t="str">
        <f>IF(AND($V$11=2,$R$186+$S$186&gt;=$AA$176,$R$186&gt;=$AA$173),"ok","nein")</f>
        <v>nein</v>
      </c>
      <c r="AB199" s="47"/>
      <c r="AC199" s="47"/>
      <c r="AE199" s="127"/>
      <c r="AG199" s="47"/>
      <c r="AH199" s="127"/>
      <c r="AI199" s="127"/>
      <c r="AJ199" s="47"/>
      <c r="AL199" s="136"/>
      <c r="AM199" s="13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5.75">
      <c r="B200" s="432" t="str">
        <f>Texte!A392</f>
        <v>Informationsteil</v>
      </c>
      <c r="Y200" s="128" t="s">
        <v>652</v>
      </c>
      <c r="Z200" s="382" t="str">
        <f>IF(AND($V$11=1,$T$186&lt;=$Z$175),"ok","nein")</f>
        <v>nein</v>
      </c>
      <c r="AA200" s="382" t="str">
        <f>IF(AND($V$11=2,$T$186&lt;=$AA$175),"ok","nein")</f>
        <v>nein</v>
      </c>
      <c r="AB200" s="47"/>
      <c r="AC200" s="47"/>
      <c r="AE200" s="127"/>
      <c r="AG200" s="47"/>
      <c r="AH200" s="127"/>
      <c r="AI200" s="127"/>
      <c r="AJ200" s="47"/>
      <c r="AL200" s="136"/>
      <c r="AM200" s="13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7.5" customHeight="1">
      <c r="B201" s="432"/>
      <c r="Y201" s="128" t="s">
        <v>1188</v>
      </c>
      <c r="Z201" s="382" t="str">
        <f>IF(AND($Z$198="ok",$Z$199="ok",$Z$200="ok"),"io","n. io")</f>
        <v>n. io</v>
      </c>
      <c r="AA201" s="382" t="str">
        <f>IF(AND($AA$198="ok",$AA$199="ok",$AA$200="ok"),"io","n. io")</f>
        <v>n. io</v>
      </c>
      <c r="AB201" s="47"/>
      <c r="AC201" s="47"/>
      <c r="AE201" s="127"/>
      <c r="AG201" s="47"/>
      <c r="AH201" s="127"/>
      <c r="AI201" s="127"/>
      <c r="AJ201" s="47"/>
      <c r="AL201" s="136"/>
      <c r="AM201" s="13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2.75" customHeight="1">
      <c r="B202" s="433" t="str">
        <f>Texte!A393</f>
        <v xml:space="preserve">Die Berechnung des massgebenden Tierbesatzes für die Futterbilanz basiert auf dem effektiven </v>
      </c>
      <c r="AB202" s="47"/>
      <c r="AC202" s="47"/>
      <c r="AE202" s="127"/>
      <c r="AG202" s="47"/>
      <c r="AH202" s="127"/>
      <c r="AI202" s="127"/>
      <c r="AJ202" s="47"/>
      <c r="AL202" s="136"/>
      <c r="AM202" s="13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2.75" customHeight="1">
      <c r="B203" s="433" t="str">
        <f>Texte!A394</f>
        <v xml:space="preserve">Tierbestand in der Periode vom 1.1.-31.12.. Weil dieser zur Zeit noch nicht bekannt ist, </v>
      </c>
      <c r="Y203" s="160" t="s">
        <v>300</v>
      </c>
      <c r="Z203" s="160" t="str">
        <f>IF(AND(W109=0,W158=0),"ja","nein")</f>
        <v>ja</v>
      </c>
      <c r="AB203" s="47"/>
      <c r="AC203" s="47"/>
      <c r="AE203" s="127"/>
      <c r="AG203" s="47"/>
      <c r="AH203" s="127"/>
      <c r="AI203" s="127"/>
      <c r="AJ203" s="47"/>
      <c r="AL203" s="136"/>
      <c r="AM203" s="13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2.75" customHeight="1">
      <c r="B204" s="433" t="str">
        <f>Texte!A395</f>
        <v>ist die Höhe der Beiträge nur eine Schätzung.</v>
      </c>
      <c r="Y204" s="635" t="s">
        <v>1361</v>
      </c>
      <c r="Z204" s="382" t="b">
        <f>AND(R185&lt;=H185,S185&lt;=(J185+L185),T185&lt;=N185)</f>
        <v>1</v>
      </c>
      <c r="AB204" s="47"/>
      <c r="AC204" s="47"/>
      <c r="AE204" s="127"/>
      <c r="AG204" s="47"/>
      <c r="AH204" s="127"/>
      <c r="AI204" s="127"/>
      <c r="AJ204" s="47"/>
      <c r="AL204" s="136"/>
      <c r="AM204" s="13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2.75" customHeight="1">
      <c r="B205" s="432"/>
      <c r="AB205" s="47"/>
      <c r="AC205" s="47"/>
      <c r="AE205" s="127"/>
      <c r="AG205" s="47"/>
      <c r="AH205" s="127"/>
      <c r="AI205" s="127"/>
      <c r="AJ205" s="47"/>
      <c r="AL205" s="136"/>
      <c r="AM205" s="13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2.75" customHeight="1">
      <c r="B206" s="482" t="str">
        <f>Texte!A239</f>
        <v>Angaben für Mindesttierbesatz</v>
      </c>
      <c r="C206" s="267"/>
      <c r="AB206" s="47"/>
      <c r="AC206" s="47"/>
      <c r="AE206" s="127"/>
      <c r="AG206" s="47"/>
      <c r="AH206" s="127"/>
      <c r="AI206" s="127"/>
      <c r="AJ206" s="47"/>
      <c r="AL206" s="136"/>
      <c r="AM206" s="13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2.75" customHeight="1">
      <c r="B207" s="482"/>
      <c r="C207" s="484" t="str">
        <f>Texte!A241</f>
        <v>Dauergrünland</v>
      </c>
      <c r="D207" s="434"/>
      <c r="E207" s="434"/>
      <c r="AB207" s="47"/>
      <c r="AC207" s="47"/>
      <c r="AE207" s="127"/>
      <c r="AG207" s="47"/>
      <c r="AH207" s="127"/>
      <c r="AI207" s="127"/>
      <c r="AJ207" s="47"/>
      <c r="AL207" s="136"/>
      <c r="AM207" s="13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2.75" customHeight="1">
      <c r="B208" s="482"/>
      <c r="C208" s="484" t="str">
        <f>Texte!A242</f>
        <v>Kunstwiesen</v>
      </c>
      <c r="E208" s="485" t="str">
        <f>Texte!A243</f>
        <v>BFF</v>
      </c>
      <c r="AB208" s="47"/>
      <c r="AC208" s="47"/>
      <c r="AE208" s="127"/>
      <c r="AG208" s="47"/>
      <c r="AH208" s="127"/>
      <c r="AI208" s="127"/>
      <c r="AJ208" s="47"/>
      <c r="AL208" s="136"/>
      <c r="AM208" s="13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2.75" customHeight="1">
      <c r="B209" s="432"/>
      <c r="C209" s="486" t="s">
        <v>360</v>
      </c>
      <c r="E209" s="485" t="s">
        <v>360</v>
      </c>
      <c r="AB209" s="47"/>
      <c r="AC209" s="47"/>
      <c r="AE209" s="127"/>
      <c r="AG209" s="47"/>
      <c r="AH209" s="127"/>
      <c r="AI209" s="127"/>
      <c r="AJ209" s="47"/>
      <c r="AL209" s="136"/>
      <c r="AM209" s="13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2.75" customHeight="1">
      <c r="B210" s="483" t="str">
        <f>Texte!A244</f>
        <v>Talzone</v>
      </c>
      <c r="C210" s="477"/>
      <c r="D210" s="487"/>
      <c r="E210" s="480"/>
      <c r="AB210" s="47"/>
      <c r="AC210" s="47"/>
      <c r="AE210" s="127"/>
      <c r="AG210" s="47"/>
      <c r="AH210" s="127"/>
      <c r="AI210" s="127"/>
      <c r="AJ210" s="47"/>
      <c r="AL210" s="136"/>
      <c r="AM210" s="13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2.75" customHeight="1">
      <c r="B211" s="483" t="str">
        <f>Texte!A245</f>
        <v>Hügelzone</v>
      </c>
      <c r="C211" s="478"/>
      <c r="D211" s="487"/>
      <c r="E211" s="73"/>
      <c r="AB211" s="47"/>
      <c r="AC211" s="47"/>
      <c r="AE211" s="127"/>
      <c r="AG211" s="47"/>
      <c r="AH211" s="127"/>
      <c r="AI211" s="127"/>
      <c r="AJ211" s="47"/>
      <c r="AL211" s="136"/>
      <c r="AM211" s="13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2.75" customHeight="1">
      <c r="B212" s="483" t="str">
        <f>Texte!A246</f>
        <v>Bergzone 1</v>
      </c>
      <c r="C212" s="478"/>
      <c r="D212" s="487"/>
      <c r="E212" s="73"/>
      <c r="AB212" s="47"/>
      <c r="AC212" s="47"/>
      <c r="AE212" s="127"/>
      <c r="AG212" s="47"/>
      <c r="AH212" s="127"/>
      <c r="AI212" s="127"/>
      <c r="AJ212" s="47"/>
      <c r="AL212" s="136"/>
      <c r="AM212" s="13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2.75" customHeight="1">
      <c r="B213" s="483" t="str">
        <f>Texte!A247</f>
        <v>Bergzone 2</v>
      </c>
      <c r="C213" s="478"/>
      <c r="D213" s="487"/>
      <c r="E213" s="73"/>
      <c r="AB213" s="47"/>
      <c r="AC213" s="47"/>
      <c r="AE213" s="127"/>
      <c r="AG213" s="47"/>
      <c r="AH213" s="127"/>
      <c r="AI213" s="127"/>
      <c r="AJ213" s="47"/>
      <c r="AL213" s="136"/>
      <c r="AM213" s="13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2.75" customHeight="1">
      <c r="B214" s="483" t="str">
        <f>Texte!A248</f>
        <v>Bergzone 3</v>
      </c>
      <c r="C214" s="478"/>
      <c r="D214" s="487"/>
      <c r="E214" s="73"/>
      <c r="AB214" s="47"/>
      <c r="AC214" s="47"/>
      <c r="AE214" s="127"/>
      <c r="AG214" s="47"/>
      <c r="AH214" s="127"/>
      <c r="AI214" s="127"/>
      <c r="AJ214" s="47"/>
      <c r="AL214" s="136"/>
      <c r="AM214" s="13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2.75" customHeight="1">
      <c r="B215" s="483" t="str">
        <f>Texte!A249</f>
        <v>Bergzone 4</v>
      </c>
      <c r="C215" s="478"/>
      <c r="D215" s="487"/>
      <c r="E215" s="73"/>
      <c r="AB215" s="47"/>
      <c r="AC215" s="47"/>
      <c r="AE215" s="127"/>
      <c r="AG215" s="47"/>
      <c r="AH215" s="127"/>
      <c r="AI215" s="127"/>
      <c r="AJ215" s="47"/>
      <c r="AL215" s="136"/>
      <c r="AM215" s="13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>
      <c r="B216" s="483" t="str">
        <f>Texte!A250</f>
        <v>Flächen im Ausland</v>
      </c>
      <c r="C216" s="479"/>
      <c r="D216" s="488"/>
      <c r="E216" s="481"/>
      <c r="AB216" s="47"/>
      <c r="AC216" s="47"/>
      <c r="AE216" s="127"/>
      <c r="AG216" s="47"/>
      <c r="AH216" s="127"/>
      <c r="AI216" s="127"/>
      <c r="AJ216" s="47"/>
      <c r="AL216" s="136"/>
      <c r="AM216" s="13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>
      <c r="B217" s="435" t="s">
        <v>727</v>
      </c>
      <c r="C217" s="406">
        <f>SUM(C210:E216)</f>
        <v>0</v>
      </c>
      <c r="D217" s="489"/>
      <c r="E217" s="407"/>
      <c r="AB217" s="47"/>
      <c r="AC217" s="47"/>
      <c r="AE217" s="127"/>
      <c r="AG217" s="47"/>
      <c r="AH217" s="127"/>
      <c r="AI217" s="127"/>
      <c r="AJ217" s="47"/>
      <c r="AL217" s="136"/>
      <c r="AM217" s="13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7.5" customHeight="1">
      <c r="B218" s="433"/>
      <c r="AB218" s="47"/>
      <c r="AC218" s="47"/>
      <c r="AE218" s="127"/>
      <c r="AG218" s="47"/>
      <c r="AH218" s="127"/>
      <c r="AI218" s="127"/>
      <c r="AJ218" s="47"/>
      <c r="AL218" s="136"/>
      <c r="AM218" s="13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7.5" customHeight="1">
      <c r="B219" s="433"/>
      <c r="AB219" s="47"/>
      <c r="AC219" s="47"/>
      <c r="AE219" s="127"/>
      <c r="AG219" s="47"/>
      <c r="AH219" s="127"/>
      <c r="AI219" s="127"/>
      <c r="AJ219" s="47"/>
      <c r="AL219" s="136"/>
      <c r="AM219" s="13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>
      <c r="B220" s="433" t="str">
        <f>Texte!A345</f>
        <v>Erforderlicher Mindesttierbesatz (RGVE/ha Grünfläche) für 100 % der GMF-Beiträge</v>
      </c>
      <c r="O220" s="430" t="str">
        <f>$AG$183</f>
        <v/>
      </c>
      <c r="P220" s="603"/>
      <c r="AB220" s="47"/>
      <c r="AC220" s="47"/>
      <c r="AE220" s="127"/>
      <c r="AG220" s="47"/>
      <c r="AH220" s="127"/>
      <c r="AI220" s="127"/>
      <c r="AJ220" s="47"/>
      <c r="AL220" s="136"/>
      <c r="AM220" s="13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>
      <c r="B221" s="433" t="str">
        <f>Texte!A396</f>
        <v>RGVE effektiv auf dem Betrieb</v>
      </c>
      <c r="D221" s="465"/>
      <c r="E221" s="426"/>
      <c r="N221" s="435" t="str">
        <f>Texte!A397</f>
        <v>Effektiver Mindesttierbesatz (RGVE/ha Grünfläche)</v>
      </c>
      <c r="O221" s="430" t="str">
        <f>IF($J$120="","",IF($E$221&lt;=0,"",$E$221/$J$120))</f>
        <v/>
      </c>
      <c r="P221" s="603"/>
      <c r="AB221" s="47"/>
      <c r="AC221" s="47"/>
      <c r="AE221" s="127"/>
      <c r="AG221" s="47"/>
      <c r="AH221" s="127"/>
      <c r="AI221" s="127"/>
      <c r="AJ221" s="47"/>
      <c r="AL221" s="136"/>
      <c r="AM221" s="13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>
      <c r="B222" s="434"/>
      <c r="N222" s="436"/>
      <c r="O222" s="274"/>
      <c r="P222" s="274"/>
      <c r="AB222" s="47"/>
      <c r="AC222" s="47"/>
      <c r="AE222" s="127"/>
      <c r="AG222" s="47"/>
      <c r="AH222" s="127"/>
      <c r="AI222" s="127"/>
      <c r="AJ222" s="47"/>
      <c r="AL222" s="136"/>
      <c r="AM222" s="13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>
      <c r="B223" s="433" t="str">
        <f>Texte!A398</f>
        <v>Erfüllung des Anteils … an der Ration</v>
      </c>
      <c r="N223" s="435" t="str">
        <f>Texte!A402</f>
        <v>Erfüllung des Mindesttierbesatzes für</v>
      </c>
      <c r="O223" s="429" t="str">
        <f>IF($O$220="","",MIN($O$221/$O$220*100,100))</f>
        <v/>
      </c>
      <c r="P223" s="604"/>
      <c r="Q223" s="433" t="str">
        <f>Texte!A403</f>
        <v>% der GMF-Beiträge</v>
      </c>
      <c r="AB223" s="47"/>
      <c r="AC223" s="47"/>
      <c r="AE223" s="127"/>
      <c r="AG223" s="47"/>
      <c r="AH223" s="127"/>
      <c r="AI223" s="127"/>
      <c r="AJ223" s="47"/>
      <c r="AL223" s="136"/>
      <c r="AM223" s="13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>
      <c r="B224" s="434" t="str">
        <f>Texte!A399</f>
        <v xml:space="preserve">  - Wiesen- und Weidefutter</v>
      </c>
      <c r="E224" s="423" t="str">
        <f>IF($V$11="","",IF(AND($V$11=1,$Z$183="nein"),Texte!A$408,IF(AND($V$11=2,$AA$183="nein"),Texte!A$408,Texte!A$409)))</f>
        <v/>
      </c>
      <c r="N224" s="435" t="str">
        <f>Texte!A404</f>
        <v xml:space="preserve">das entspricht etwa </v>
      </c>
      <c r="O224" s="437" t="str">
        <f>IF(OR($Z$186="io",$AA$186="io"),$O$223/100*200*$J$120,"")</f>
        <v/>
      </c>
      <c r="P224" s="605"/>
      <c r="Q224" s="433" t="s">
        <v>73</v>
      </c>
      <c r="AB224" s="47"/>
      <c r="AC224" s="47"/>
      <c r="AE224" s="127"/>
      <c r="AG224" s="47"/>
      <c r="AH224" s="127"/>
      <c r="AI224" s="127"/>
      <c r="AJ224" s="47"/>
      <c r="AL224" s="136"/>
      <c r="AM224" s="13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>
      <c r="B225" s="434" t="str">
        <f>Texte!A400</f>
        <v xml:space="preserve">  - übriges Grundfutter</v>
      </c>
      <c r="E225" s="424" t="str">
        <f>IF($V$11="","",IF(AND($V$11=1,$Z$184="nein"),Texte!A$408,IF(AND($V$11=2,$AA$184="nein"),Texte!A$408,Texte!A$409)))</f>
        <v/>
      </c>
      <c r="AB225" s="47"/>
      <c r="AC225" s="47"/>
      <c r="AE225" s="127"/>
      <c r="AG225" s="47"/>
      <c r="AH225" s="127"/>
      <c r="AI225" s="127"/>
      <c r="AJ225" s="47"/>
      <c r="AL225" s="136"/>
      <c r="AM225" s="13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>
      <c r="B226" s="434" t="str">
        <f>Texte!A401</f>
        <v xml:space="preserve">  - Kraftfutter</v>
      </c>
      <c r="E226" s="425" t="str">
        <f>IF($V$11="","",IF(AND($V$11=1,$Z$185="nein"),Texte!A$408,IF(AND($V$11=2,$AA$185="nein"),Texte!A$408,Texte!A$409)))</f>
        <v/>
      </c>
      <c r="N226" s="435" t="str">
        <f>IF(AND($Z$186="n. io",$AA$186="n. io"),Texte!A412,IF($E$221&lt;=0,Texte!A410,Texte!A405))</f>
        <v>Sie erhalten KEINE Beiträge</v>
      </c>
      <c r="O226" s="428" t="str">
        <f>IF(OR(AND($Z$186="n. io",$AA$186="n. io"),$E$221&lt;=0),"",IF(ROUND($O$223,0)=100,Texte!A407,Texte!A406))</f>
        <v/>
      </c>
      <c r="P226" s="274"/>
      <c r="AB226" s="47"/>
      <c r="AC226" s="47"/>
      <c r="AE226" s="127"/>
      <c r="AG226" s="47"/>
      <c r="AH226" s="127"/>
      <c r="AI226" s="127"/>
      <c r="AJ226" s="47"/>
      <c r="AL226" s="136"/>
      <c r="AM226" s="13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>
      <c r="N227" s="431" t="str">
        <f>IF(AND(OR($Z$186="io",$AA$186="io"),$E$221&lt;=0),Texte!A411,"")</f>
        <v/>
      </c>
      <c r="AB227" s="47"/>
      <c r="AC227" s="47"/>
      <c r="AE227" s="127"/>
      <c r="AG227" s="47"/>
      <c r="AH227" s="127"/>
      <c r="AI227" s="127"/>
      <c r="AJ227" s="47"/>
      <c r="AL227" s="136"/>
      <c r="AM227" s="13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>
      <c r="AB228" s="47"/>
      <c r="AC228" s="47"/>
      <c r="AE228" s="127"/>
      <c r="AG228" s="47"/>
      <c r="AH228" s="127"/>
      <c r="AI228" s="127"/>
      <c r="AJ228" s="47"/>
      <c r="AL228" s="136"/>
      <c r="AM228" s="13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>
      <c r="AB229" s="47"/>
      <c r="AC229" s="47"/>
      <c r="AE229" s="127"/>
      <c r="AG229" s="47"/>
      <c r="AH229" s="127"/>
      <c r="AI229" s="127"/>
      <c r="AJ229" s="47"/>
      <c r="AL229" s="136"/>
      <c r="AM229" s="13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>
      <c r="AB230" s="47"/>
      <c r="AC230" s="47"/>
      <c r="AE230" s="127"/>
      <c r="AG230" s="47"/>
      <c r="AH230" s="127"/>
      <c r="AI230" s="127"/>
      <c r="AJ230" s="47"/>
      <c r="AL230" s="136"/>
      <c r="AM230" s="13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>
      <c r="AB231" s="47"/>
      <c r="AC231" s="47"/>
      <c r="AE231" s="127"/>
      <c r="AG231" s="47"/>
      <c r="AH231" s="127"/>
      <c r="AI231" s="127"/>
      <c r="AJ231" s="47"/>
      <c r="AL231" s="136"/>
      <c r="AM231" s="13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>
      <c r="AB232" s="47"/>
      <c r="AC232" s="47"/>
      <c r="AE232" s="127"/>
      <c r="AG232" s="47"/>
      <c r="AH232" s="127"/>
      <c r="AI232" s="127"/>
      <c r="AJ232" s="47"/>
      <c r="AL232" s="136"/>
      <c r="AM232" s="13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>
      <c r="AB233" s="47"/>
      <c r="AC233" s="47"/>
      <c r="AE233" s="127"/>
      <c r="AG233" s="47"/>
      <c r="AH233" s="127"/>
      <c r="AI233" s="127"/>
      <c r="AJ233" s="47"/>
      <c r="AL233" s="136"/>
      <c r="AM233" s="13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>
      <c r="AB234" s="47"/>
      <c r="AC234" s="47"/>
      <c r="AE234" s="127"/>
      <c r="AG234" s="47"/>
      <c r="AH234" s="127"/>
      <c r="AI234" s="127"/>
      <c r="AJ234" s="47"/>
      <c r="AL234" s="136"/>
      <c r="AM234" s="13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>
      <c r="AB235" s="47"/>
      <c r="AC235" s="47"/>
      <c r="AE235" s="127"/>
      <c r="AG235" s="47"/>
      <c r="AH235" s="127"/>
      <c r="AI235" s="127"/>
      <c r="AJ235" s="47"/>
      <c r="AL235" s="136"/>
      <c r="AM235" s="13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>
      <c r="AB236" s="47"/>
      <c r="AC236" s="47"/>
      <c r="AE236" s="127"/>
      <c r="AG236" s="47"/>
      <c r="AH236" s="127"/>
      <c r="AI236" s="127"/>
      <c r="AJ236" s="47"/>
      <c r="AL236" s="136"/>
      <c r="AM236" s="13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>
      <c r="AB237" s="47"/>
      <c r="AC237" s="47"/>
      <c r="AE237" s="127"/>
      <c r="AG237" s="47"/>
      <c r="AH237" s="127"/>
      <c r="AI237" s="127"/>
      <c r="AJ237" s="47"/>
      <c r="AL237" s="136"/>
      <c r="AM237" s="13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>
      <c r="AB238" s="47"/>
      <c r="AC238" s="47"/>
      <c r="AE238" s="127"/>
      <c r="AG238" s="47"/>
      <c r="AH238" s="127"/>
      <c r="AI238" s="127"/>
      <c r="AJ238" s="47"/>
      <c r="AL238" s="136"/>
      <c r="AM238" s="13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>
      <c r="AB239" s="47"/>
      <c r="AC239" s="47"/>
      <c r="AE239" s="127"/>
      <c r="AG239" s="47"/>
      <c r="AH239" s="127"/>
      <c r="AI239" s="127"/>
      <c r="AJ239" s="47"/>
      <c r="AL239" s="136"/>
      <c r="AM239" s="13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>
      <c r="AB240" s="47"/>
      <c r="AC240" s="47"/>
      <c r="AE240" s="127"/>
      <c r="AG240" s="47"/>
      <c r="AH240" s="127"/>
      <c r="AI240" s="127"/>
      <c r="AJ240" s="47"/>
      <c r="AL240" s="136"/>
      <c r="AM240" s="13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>
      <c r="AB241" s="47"/>
      <c r="AC241" s="47"/>
      <c r="AE241" s="127"/>
      <c r="AG241" s="47"/>
      <c r="AH241" s="127"/>
      <c r="AI241" s="127"/>
      <c r="AJ241" s="47"/>
      <c r="AL241" s="136"/>
      <c r="AM241" s="13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>
      <c r="AB242" s="47"/>
      <c r="AC242" s="47"/>
      <c r="AE242" s="127"/>
      <c r="AG242" s="47"/>
      <c r="AH242" s="127"/>
      <c r="AI242" s="127"/>
      <c r="AJ242" s="47"/>
      <c r="AL242" s="136"/>
      <c r="AM242" s="13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>
      <c r="AB243" s="47"/>
      <c r="AC243" s="47"/>
      <c r="AE243" s="127"/>
      <c r="AG243" s="47"/>
      <c r="AH243" s="127"/>
      <c r="AI243" s="127"/>
      <c r="AJ243" s="47"/>
      <c r="AL243" s="136"/>
      <c r="AM243" s="13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>
      <c r="B244" s="136"/>
      <c r="C244" s="136"/>
      <c r="D244" s="136"/>
      <c r="E244" s="136"/>
      <c r="F244" s="136"/>
      <c r="G244" s="136"/>
      <c r="H244" s="136"/>
      <c r="I244" s="136"/>
      <c r="AB244" s="47"/>
      <c r="AC244" s="47"/>
      <c r="AE244" s="127"/>
      <c r="AG244" s="47"/>
      <c r="AH244" s="127"/>
      <c r="AI244" s="127"/>
      <c r="AJ244" s="47"/>
      <c r="AL244" s="136"/>
      <c r="AM244" s="13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>
      <c r="B245" s="136"/>
      <c r="C245" s="136"/>
      <c r="D245" s="136"/>
      <c r="E245" s="136"/>
      <c r="F245" s="136"/>
      <c r="G245" s="136"/>
      <c r="H245" s="136"/>
      <c r="I245" s="136"/>
      <c r="AB245" s="47"/>
      <c r="AC245" s="47"/>
      <c r="AE245" s="127"/>
      <c r="AG245" s="47"/>
      <c r="AH245" s="127"/>
      <c r="AI245" s="127"/>
      <c r="AJ245" s="47"/>
      <c r="AL245" s="136"/>
      <c r="AM245" s="13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>
      <c r="A246" s="136" t="s">
        <v>734</v>
      </c>
      <c r="B246" s="136"/>
      <c r="C246" s="136"/>
      <c r="D246" s="136"/>
      <c r="E246" s="136"/>
      <c r="F246" s="136"/>
      <c r="G246" s="136"/>
      <c r="H246" s="136"/>
      <c r="I246" s="136"/>
      <c r="AB246" s="47"/>
      <c r="AC246" s="47"/>
      <c r="AE246" s="127"/>
      <c r="AG246" s="47"/>
      <c r="AH246" s="127"/>
      <c r="AI246" s="127"/>
      <c r="AJ246" s="47"/>
      <c r="AL246" s="136"/>
      <c r="AM246" s="13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>
      <c r="A247" s="136" t="s">
        <v>735</v>
      </c>
      <c r="B247" s="136"/>
      <c r="C247" s="136"/>
      <c r="D247" s="136"/>
      <c r="E247" s="136"/>
      <c r="F247" s="136"/>
      <c r="G247" s="136"/>
      <c r="H247" s="136"/>
      <c r="I247" s="136"/>
      <c r="AB247" s="47"/>
      <c r="AC247" s="47"/>
      <c r="AE247" s="127"/>
      <c r="AG247" s="47"/>
      <c r="AH247" s="127"/>
      <c r="AI247" s="127"/>
      <c r="AJ247" s="47"/>
      <c r="AL247" s="136"/>
      <c r="AM247" s="13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>
      <c r="A248" s="136"/>
      <c r="B248" s="136"/>
      <c r="C248" s="136"/>
      <c r="D248" s="136"/>
      <c r="E248" s="136"/>
      <c r="F248" s="136"/>
      <c r="G248" s="136"/>
      <c r="H248" s="136"/>
      <c r="I248" s="136"/>
      <c r="AB248" s="47"/>
      <c r="AC248" s="47"/>
      <c r="AE248" s="127"/>
      <c r="AG248" s="47"/>
      <c r="AH248" s="127"/>
      <c r="AI248" s="127"/>
      <c r="AJ248" s="47"/>
      <c r="AL248" s="136"/>
      <c r="AM248" s="13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>
      <c r="A249" s="136"/>
      <c r="AB249" s="47"/>
      <c r="AC249" s="47"/>
      <c r="AE249" s="127"/>
      <c r="AG249" s="47"/>
      <c r="AH249" s="127"/>
      <c r="AI249" s="127"/>
      <c r="AJ249" s="47"/>
      <c r="AL249" s="136"/>
      <c r="AM249" s="13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>
      <c r="A250" s="136"/>
      <c r="AB250" s="47"/>
      <c r="AC250" s="47"/>
      <c r="AE250" s="127"/>
      <c r="AG250" s="47"/>
      <c r="AH250" s="127"/>
      <c r="AI250" s="127"/>
      <c r="AJ250" s="47"/>
      <c r="AL250" s="136"/>
      <c r="AM250" s="13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>
      <c r="AB251" s="47"/>
      <c r="AC251" s="47"/>
      <c r="AE251" s="127"/>
      <c r="AG251" s="47"/>
      <c r="AH251" s="127"/>
      <c r="AI251" s="127"/>
      <c r="AJ251" s="47"/>
      <c r="AL251" s="136"/>
      <c r="AM251" s="136"/>
    </row>
    <row r="252" spans="1:50">
      <c r="A252" s="159"/>
      <c r="AB252" s="47"/>
      <c r="AC252" s="47"/>
      <c r="AE252" s="127"/>
      <c r="AG252" s="47"/>
      <c r="AH252" s="127"/>
      <c r="AI252" s="127"/>
      <c r="AJ252" s="47"/>
      <c r="AL252" s="136"/>
      <c r="AM252" s="136"/>
    </row>
    <row r="253" spans="1:50">
      <c r="A253" s="159"/>
      <c r="AB253" s="47"/>
      <c r="AC253" s="47"/>
      <c r="AE253" s="127"/>
      <c r="AG253" s="47"/>
      <c r="AH253" s="127"/>
      <c r="AI253" s="127"/>
      <c r="AJ253" s="47"/>
      <c r="AL253" s="136"/>
      <c r="AM253" s="136"/>
    </row>
    <row r="254" spans="1:50">
      <c r="A254" s="159"/>
      <c r="AB254" s="47"/>
      <c r="AC254" s="47"/>
      <c r="AE254" s="127"/>
      <c r="AG254" s="47"/>
      <c r="AH254" s="127"/>
      <c r="AI254" s="127"/>
      <c r="AJ254" s="47"/>
      <c r="AL254" s="136"/>
      <c r="AM254" s="136"/>
    </row>
    <row r="255" spans="1:50">
      <c r="A255" s="159"/>
      <c r="AB255" s="47"/>
      <c r="AC255" s="47"/>
      <c r="AE255" s="127"/>
      <c r="AG255" s="47"/>
      <c r="AH255" s="127"/>
      <c r="AI255" s="127"/>
      <c r="AJ255" s="47"/>
      <c r="AL255" s="136"/>
      <c r="AM255" s="136"/>
    </row>
    <row r="256" spans="1:50">
      <c r="A256" s="159"/>
      <c r="AB256" s="47"/>
      <c r="AC256" s="47"/>
      <c r="AE256" s="127"/>
      <c r="AG256" s="47"/>
      <c r="AH256" s="127"/>
      <c r="AI256" s="127"/>
      <c r="AJ256" s="47"/>
      <c r="AL256" s="136"/>
      <c r="AM256" s="136"/>
    </row>
    <row r="257" spans="1:39">
      <c r="A257" s="159"/>
      <c r="AB257" s="47"/>
      <c r="AC257" s="47"/>
      <c r="AE257" s="127"/>
      <c r="AG257" s="47"/>
      <c r="AH257" s="127"/>
      <c r="AI257" s="127"/>
      <c r="AJ257" s="47"/>
      <c r="AL257" s="136"/>
      <c r="AM257" s="136"/>
    </row>
    <row r="258" spans="1:39">
      <c r="A258" s="159"/>
      <c r="AB258" s="47"/>
      <c r="AC258" s="47"/>
      <c r="AE258" s="127"/>
      <c r="AG258" s="47"/>
      <c r="AH258" s="127"/>
      <c r="AI258" s="127"/>
      <c r="AJ258" s="47"/>
      <c r="AL258" s="136"/>
      <c r="AM258" s="136"/>
    </row>
    <row r="259" spans="1:39">
      <c r="A259" s="159"/>
      <c r="AB259" s="47"/>
      <c r="AC259" s="47"/>
      <c r="AE259" s="127"/>
      <c r="AG259" s="47"/>
      <c r="AH259" s="127"/>
      <c r="AI259" s="127"/>
      <c r="AJ259" s="47"/>
      <c r="AL259" s="136"/>
      <c r="AM259" s="136"/>
    </row>
    <row r="260" spans="1:39">
      <c r="A260" s="159"/>
      <c r="AB260" s="47"/>
      <c r="AC260" s="47"/>
      <c r="AE260" s="127"/>
      <c r="AG260" s="47"/>
      <c r="AH260" s="127"/>
      <c r="AI260" s="127"/>
      <c r="AJ260" s="47"/>
      <c r="AL260" s="136"/>
      <c r="AM260" s="136"/>
    </row>
    <row r="261" spans="1:39">
      <c r="A261" s="159"/>
      <c r="AB261" s="47"/>
      <c r="AC261" s="47"/>
      <c r="AE261" s="127"/>
      <c r="AG261" s="47"/>
      <c r="AH261" s="127"/>
      <c r="AI261" s="127"/>
      <c r="AJ261" s="47"/>
      <c r="AL261" s="136"/>
      <c r="AM261" s="136"/>
    </row>
    <row r="262" spans="1:39">
      <c r="A262" s="159"/>
      <c r="AB262" s="47"/>
      <c r="AC262" s="47"/>
      <c r="AE262" s="127"/>
      <c r="AG262" s="47"/>
      <c r="AH262" s="127"/>
      <c r="AI262" s="127"/>
      <c r="AJ262" s="47"/>
      <c r="AL262" s="136"/>
      <c r="AM262" s="136"/>
    </row>
    <row r="263" spans="1:39">
      <c r="A263" s="159"/>
      <c r="AB263" s="47"/>
      <c r="AC263" s="47"/>
      <c r="AE263" s="127"/>
      <c r="AG263" s="47"/>
      <c r="AH263" s="127"/>
      <c r="AI263" s="127"/>
      <c r="AJ263" s="47"/>
      <c r="AL263" s="136"/>
      <c r="AM263" s="136"/>
    </row>
    <row r="264" spans="1:39">
      <c r="A264" s="159"/>
      <c r="AB264" s="47"/>
      <c r="AC264" s="47"/>
      <c r="AE264" s="127"/>
      <c r="AG264" s="47"/>
      <c r="AH264" s="127"/>
      <c r="AI264" s="127"/>
      <c r="AJ264" s="47"/>
      <c r="AL264" s="136"/>
      <c r="AM264" s="136"/>
    </row>
    <row r="265" spans="1:39">
      <c r="A265" s="159"/>
      <c r="B265" s="159"/>
      <c r="C265" s="159"/>
      <c r="D265" s="159"/>
      <c r="AB265" s="47"/>
      <c r="AC265" s="47"/>
      <c r="AE265" s="127"/>
      <c r="AG265" s="47"/>
      <c r="AH265" s="127"/>
      <c r="AI265" s="127"/>
      <c r="AJ265" s="47"/>
      <c r="AL265" s="136"/>
      <c r="AM265" s="136"/>
    </row>
    <row r="266" spans="1:39">
      <c r="A266" s="159"/>
      <c r="B266" s="159"/>
      <c r="C266" s="159"/>
      <c r="D266" s="159"/>
      <c r="AB266" s="47"/>
      <c r="AC266" s="47"/>
      <c r="AE266" s="127"/>
      <c r="AG266" s="47"/>
      <c r="AH266" s="127"/>
      <c r="AI266" s="127"/>
      <c r="AJ266" s="47"/>
      <c r="AL266" s="136"/>
      <c r="AM266" s="136"/>
    </row>
    <row r="267" spans="1:39">
      <c r="A267" s="159"/>
      <c r="B267" s="159"/>
      <c r="C267" s="159"/>
      <c r="D267" s="159"/>
      <c r="E267" s="136"/>
      <c r="F267" s="136"/>
      <c r="G267" s="136"/>
      <c r="H267" s="136"/>
      <c r="I267" s="136"/>
      <c r="AB267" s="47"/>
      <c r="AC267" s="47"/>
      <c r="AE267" s="127"/>
      <c r="AG267" s="47"/>
      <c r="AH267" s="127"/>
      <c r="AI267" s="127"/>
      <c r="AJ267" s="47"/>
      <c r="AL267" s="136"/>
      <c r="AM267" s="136"/>
    </row>
    <row r="268" spans="1:39">
      <c r="A268" s="159"/>
      <c r="B268" s="159"/>
      <c r="C268" s="159"/>
      <c r="D268" s="159"/>
      <c r="E268" s="136"/>
      <c r="F268" s="121"/>
      <c r="G268" s="159"/>
      <c r="H268" s="136"/>
      <c r="I268" s="136"/>
      <c r="AB268" s="47"/>
      <c r="AC268" s="47"/>
      <c r="AE268" s="127"/>
      <c r="AG268" s="47"/>
      <c r="AH268" s="127"/>
      <c r="AI268" s="127"/>
      <c r="AJ268" s="47"/>
      <c r="AL268" s="136"/>
      <c r="AM268" s="136"/>
    </row>
    <row r="269" spans="1:39" hidden="1">
      <c r="A269" s="349"/>
      <c r="F269" s="121"/>
      <c r="G269" s="350"/>
      <c r="H269" s="136"/>
      <c r="I269" s="136"/>
      <c r="AB269" s="47"/>
      <c r="AC269" s="47"/>
      <c r="AE269" s="127"/>
      <c r="AG269" s="47"/>
      <c r="AH269" s="127"/>
      <c r="AI269" s="127"/>
      <c r="AJ269" s="47"/>
      <c r="AL269" s="136"/>
      <c r="AM269" s="136"/>
    </row>
    <row r="270" spans="1:39" hidden="1">
      <c r="A270" s="350" t="str">
        <f>Texte!A124</f>
        <v>Milchkühe</v>
      </c>
      <c r="B270" s="248"/>
      <c r="F270" s="121"/>
      <c r="G270" s="350"/>
      <c r="H270" s="136"/>
      <c r="I270" s="136"/>
      <c r="AB270" s="47"/>
      <c r="AC270" s="47"/>
      <c r="AE270" s="127"/>
      <c r="AG270" s="47"/>
      <c r="AH270" s="127"/>
      <c r="AI270" s="127"/>
      <c r="AJ270" s="47"/>
      <c r="AL270" s="136"/>
      <c r="AM270" s="136"/>
    </row>
    <row r="271" spans="1:39" hidden="1">
      <c r="A271" s="350" t="str">
        <f>Texte!A125</f>
        <v>andere Kühe</v>
      </c>
      <c r="B271" s="248"/>
      <c r="F271" s="121"/>
      <c r="G271" s="350"/>
      <c r="H271" s="136"/>
      <c r="I271" s="136"/>
      <c r="AB271" s="47"/>
      <c r="AC271" s="47"/>
      <c r="AE271" s="127"/>
      <c r="AG271" s="47"/>
      <c r="AH271" s="127"/>
      <c r="AI271" s="127"/>
      <c r="AJ271" s="47"/>
      <c r="AL271" s="136"/>
      <c r="AM271" s="136"/>
    </row>
    <row r="272" spans="1:39" hidden="1">
      <c r="A272" s="350" t="str">
        <f>Texte!A129</f>
        <v>Mutterkühe schwer (LG 700-800 kg)</v>
      </c>
      <c r="B272" s="248"/>
      <c r="F272" s="121"/>
      <c r="G272" s="350"/>
      <c r="H272" s="136"/>
      <c r="I272" s="136"/>
      <c r="AB272" s="47"/>
      <c r="AC272" s="47"/>
      <c r="AE272" s="127"/>
      <c r="AG272" s="47"/>
      <c r="AH272" s="127"/>
      <c r="AI272" s="127"/>
      <c r="AJ272" s="47"/>
      <c r="AL272" s="136"/>
      <c r="AM272" s="136"/>
    </row>
    <row r="273" spans="1:39" hidden="1">
      <c r="A273" s="350" t="str">
        <f>Texte!A130</f>
        <v>Mutterkühe mittel (LG 600-700 kg)</v>
      </c>
      <c r="B273" s="248"/>
      <c r="F273" s="121"/>
      <c r="G273" s="350"/>
      <c r="H273" s="136"/>
      <c r="I273" s="136"/>
      <c r="AB273" s="47"/>
      <c r="AC273" s="47"/>
      <c r="AE273" s="127"/>
      <c r="AG273" s="47"/>
      <c r="AH273" s="127"/>
      <c r="AI273" s="127"/>
      <c r="AJ273" s="47"/>
      <c r="AL273" s="136"/>
      <c r="AM273" s="136"/>
    </row>
    <row r="274" spans="1:39" hidden="1">
      <c r="A274" s="350" t="str">
        <f>Texte!A131</f>
        <v>Mutterkühe leicht (LG bis 600 kg)</v>
      </c>
      <c r="B274" s="248"/>
      <c r="F274" s="121"/>
      <c r="G274" s="350"/>
      <c r="H274" s="136"/>
      <c r="I274" s="136"/>
      <c r="AB274" s="47"/>
      <c r="AC274" s="47"/>
      <c r="AE274" s="127"/>
      <c r="AG274" s="47"/>
      <c r="AH274" s="127"/>
      <c r="AI274" s="127"/>
      <c r="AJ274" s="47"/>
      <c r="AL274" s="136"/>
      <c r="AM274" s="136"/>
    </row>
    <row r="275" spans="1:39" hidden="1">
      <c r="B275" s="248"/>
      <c r="F275" s="121"/>
      <c r="G275" s="350"/>
      <c r="H275" s="136"/>
      <c r="I275" s="136"/>
      <c r="AB275" s="47"/>
      <c r="AC275" s="47"/>
      <c r="AE275" s="127"/>
      <c r="AG275" s="47"/>
      <c r="AH275" s="127"/>
      <c r="AI275" s="127"/>
      <c r="AJ275" s="47"/>
      <c r="AL275" s="136"/>
      <c r="AM275" s="136"/>
    </row>
    <row r="276" spans="1:39" hidden="1">
      <c r="A276" s="350" t="str">
        <f>Texte!A132</f>
        <v>Jungvieh, bis 160 Tage alt</v>
      </c>
      <c r="B276" s="248"/>
      <c r="F276" s="121"/>
      <c r="G276" s="350"/>
      <c r="H276" s="136"/>
      <c r="I276" s="136"/>
      <c r="AB276" s="47"/>
      <c r="AC276" s="47"/>
      <c r="AE276" s="127"/>
      <c r="AG276" s="47"/>
      <c r="AH276" s="127"/>
      <c r="AI276" s="127"/>
      <c r="AJ276" s="47"/>
      <c r="AL276" s="136"/>
      <c r="AM276" s="136"/>
    </row>
    <row r="277" spans="1:39" hidden="1">
      <c r="A277" s="350" t="str">
        <f>Texte!A133</f>
        <v>Jungvieh, 160-365 Tage alt</v>
      </c>
      <c r="B277" s="248"/>
      <c r="F277" s="121"/>
      <c r="G277" s="350"/>
      <c r="H277" s="136"/>
      <c r="I277" s="136"/>
      <c r="AB277" s="47"/>
      <c r="AC277" s="47"/>
      <c r="AE277" s="127"/>
      <c r="AG277" s="47"/>
      <c r="AH277" s="127"/>
      <c r="AI277" s="127"/>
      <c r="AJ277" s="47"/>
      <c r="AL277" s="136"/>
      <c r="AM277" s="136"/>
    </row>
    <row r="278" spans="1:39" hidden="1">
      <c r="A278" s="350" t="str">
        <f>Texte!A134</f>
        <v>Jungvieh, 1 bis 2-jährig</v>
      </c>
      <c r="B278" s="248"/>
      <c r="F278" s="121"/>
      <c r="G278" s="350"/>
      <c r="H278" s="136"/>
      <c r="I278" s="136"/>
      <c r="AB278" s="47"/>
      <c r="AC278" s="47"/>
      <c r="AE278" s="127"/>
      <c r="AG278" s="47"/>
      <c r="AH278" s="127"/>
      <c r="AI278" s="127"/>
      <c r="AJ278" s="47"/>
      <c r="AL278" s="136"/>
      <c r="AM278" s="136"/>
    </row>
    <row r="279" spans="1:39" hidden="1">
      <c r="A279" s="350" t="str">
        <f>Texte!A135</f>
        <v>Jungvieh &gt;2-jährig</v>
      </c>
      <c r="B279" s="248"/>
      <c r="F279" s="121"/>
      <c r="G279" s="350"/>
      <c r="H279" s="136"/>
      <c r="I279" s="136"/>
      <c r="AB279" s="47"/>
      <c r="AC279" s="47"/>
      <c r="AE279" s="127"/>
      <c r="AG279" s="47"/>
      <c r="AH279" s="127"/>
      <c r="AI279" s="127"/>
      <c r="AJ279" s="47"/>
      <c r="AL279" s="136"/>
      <c r="AM279" s="136"/>
    </row>
    <row r="280" spans="1:39" hidden="1">
      <c r="A280" s="350" t="str">
        <f>Texte!A136</f>
        <v>Mastkälber (50-200 kg)</v>
      </c>
      <c r="B280" s="248"/>
      <c r="F280" s="121"/>
      <c r="G280" s="350"/>
      <c r="H280" s="136"/>
      <c r="I280" s="136"/>
      <c r="AB280" s="47"/>
      <c r="AC280" s="47"/>
      <c r="AE280" s="127"/>
      <c r="AG280" s="47"/>
      <c r="AH280" s="127"/>
      <c r="AI280" s="127"/>
      <c r="AJ280" s="47"/>
      <c r="AL280" s="136"/>
      <c r="AM280" s="136"/>
    </row>
    <row r="281" spans="1:39" hidden="1">
      <c r="A281" s="350" t="str">
        <f>Texte!A141</f>
        <v>Rindviehmast, bis 160 Tage alt</v>
      </c>
      <c r="B281" s="248"/>
      <c r="F281" s="121"/>
      <c r="H281" s="136"/>
      <c r="I281" s="136"/>
      <c r="AB281" s="47"/>
      <c r="AC281" s="47"/>
      <c r="AE281" s="127"/>
      <c r="AG281" s="47"/>
      <c r="AH281" s="127"/>
      <c r="AI281" s="127"/>
      <c r="AJ281" s="47"/>
      <c r="AL281" s="136"/>
      <c r="AM281" s="136"/>
    </row>
    <row r="282" spans="1:39" hidden="1">
      <c r="A282" s="350" t="str">
        <f>Texte!A142</f>
        <v>Rindviehmast, &gt; 160 Tage alt</v>
      </c>
      <c r="B282" s="248"/>
      <c r="F282" s="121"/>
      <c r="H282" s="136"/>
      <c r="I282" s="136"/>
      <c r="AB282" s="47"/>
      <c r="AC282" s="47"/>
      <c r="AE282" s="127"/>
      <c r="AG282" s="47"/>
      <c r="AH282" s="127"/>
      <c r="AI282" s="127"/>
      <c r="AJ282" s="47"/>
      <c r="AL282" s="136"/>
      <c r="AM282" s="136"/>
    </row>
    <row r="283" spans="1:39" hidden="1">
      <c r="A283" s="350" t="str">
        <f>Texte!A143</f>
        <v>Rindviehmast Weidemast &gt; 4 Monate</v>
      </c>
      <c r="B283" s="248"/>
      <c r="F283" s="121"/>
      <c r="H283" s="136"/>
      <c r="I283" s="136"/>
      <c r="AB283" s="47"/>
      <c r="AC283" s="47"/>
      <c r="AE283" s="127"/>
      <c r="AG283" s="47"/>
      <c r="AH283" s="127"/>
      <c r="AI283" s="127"/>
      <c r="AJ283" s="47"/>
      <c r="AL283" s="136"/>
      <c r="AM283" s="136"/>
    </row>
    <row r="284" spans="1:39" hidden="1">
      <c r="A284" s="350" t="str">
        <f>Texte!A144</f>
        <v>Zuchtstier</v>
      </c>
      <c r="B284" s="248"/>
      <c r="F284" s="121"/>
      <c r="H284" s="136"/>
      <c r="I284" s="136"/>
      <c r="AB284" s="47"/>
      <c r="AC284" s="47"/>
      <c r="AE284" s="127"/>
      <c r="AG284" s="47"/>
      <c r="AH284" s="127"/>
      <c r="AI284" s="127"/>
      <c r="AJ284" s="47"/>
      <c r="AL284" s="136"/>
      <c r="AM284" s="136"/>
    </row>
    <row r="285" spans="1:39" hidden="1">
      <c r="B285" s="248"/>
      <c r="F285" s="121"/>
      <c r="G285" s="350"/>
      <c r="H285" s="136"/>
      <c r="I285" s="136"/>
      <c r="AB285" s="47"/>
      <c r="AC285" s="47"/>
      <c r="AE285" s="127"/>
      <c r="AG285" s="47"/>
      <c r="AH285" s="127"/>
      <c r="AI285" s="127"/>
      <c r="AJ285" s="47"/>
      <c r="AL285" s="136"/>
      <c r="AM285" s="136"/>
    </row>
    <row r="286" spans="1:39" hidden="1">
      <c r="A286" s="350" t="str">
        <f>Texte!A137</f>
        <v>Mutterkuhkalb, bis 160 Tage alt</v>
      </c>
      <c r="B286" s="248"/>
      <c r="F286" s="121"/>
      <c r="G286" s="350"/>
      <c r="H286" s="136"/>
      <c r="I286" s="136"/>
      <c r="AB286" s="47"/>
      <c r="AC286" s="47"/>
      <c r="AE286" s="127"/>
      <c r="AG286" s="47"/>
      <c r="AH286" s="127"/>
      <c r="AI286" s="127"/>
      <c r="AJ286" s="47"/>
      <c r="AL286" s="136"/>
      <c r="AM286" s="136"/>
    </row>
    <row r="287" spans="1:39" hidden="1">
      <c r="A287" s="350" t="str">
        <f>Texte!A138</f>
        <v>Mutterkuhkalb, &gt; 160 d, leicht (&lt;200 kg SG)</v>
      </c>
      <c r="B287" s="248"/>
      <c r="F287" s="121"/>
      <c r="G287" s="350"/>
      <c r="I287" s="136"/>
    </row>
    <row r="288" spans="1:39" hidden="1">
      <c r="A288" s="350" t="str">
        <f>Texte!A139</f>
        <v>Mutterkuhkalb, &gt; 160 d, mittel (200-250 kg SG)</v>
      </c>
      <c r="B288" s="248"/>
      <c r="F288" s="121"/>
      <c r="I288" s="136"/>
    </row>
    <row r="289" spans="1:9" hidden="1">
      <c r="A289" s="350" t="str">
        <f>Texte!A140</f>
        <v>Mutterkuhkalb, &gt; 160 d, schwer (&gt;250 kg SG)</v>
      </c>
      <c r="B289" s="248"/>
      <c r="F289" s="121"/>
      <c r="I289" s="136"/>
    </row>
    <row r="290" spans="1:9" hidden="1">
      <c r="A290" s="248"/>
      <c r="B290" s="248"/>
      <c r="F290" s="121"/>
      <c r="H290" s="136"/>
      <c r="I290" s="136"/>
    </row>
    <row r="291" spans="1:9" hidden="1">
      <c r="A291" s="350" t="str">
        <f>Texte!A147</f>
        <v>Pferde bis 180 d, &gt; 148 cm*</v>
      </c>
      <c r="B291" s="248"/>
      <c r="F291" s="121"/>
      <c r="H291" s="136"/>
      <c r="I291" s="136"/>
    </row>
    <row r="292" spans="1:9" hidden="1">
      <c r="A292" s="350" t="str">
        <f>Texte!A148</f>
        <v>Pferde &gt; 180 d, &gt; 148 cm*</v>
      </c>
      <c r="B292" s="248"/>
      <c r="F292" s="121"/>
      <c r="H292" s="136"/>
      <c r="I292" s="136"/>
    </row>
    <row r="293" spans="1:9" hidden="1">
      <c r="A293" s="350" t="str">
        <f>Texte!A149</f>
        <v>Maultiere, Maulesel bis 180 d, unabh. Widerristhöhe</v>
      </c>
      <c r="B293" s="248"/>
      <c r="F293" s="121"/>
      <c r="H293" s="136"/>
      <c r="I293" s="136"/>
    </row>
    <row r="294" spans="1:9" hidden="1">
      <c r="A294" s="350" t="str">
        <f>Texte!A150</f>
        <v>Maultiere, Maulesel &gt; 180 d, unabh. Widerristhöhe</v>
      </c>
      <c r="B294" s="248"/>
      <c r="F294" s="121"/>
      <c r="H294" s="136"/>
      <c r="I294" s="136"/>
    </row>
    <row r="295" spans="1:9" hidden="1">
      <c r="A295" s="350" t="str">
        <f>Texte!A151</f>
        <v>Ponys**, Kleinpferde und Esel, jeden Alters, &lt; 148 cm</v>
      </c>
      <c r="B295" s="248"/>
      <c r="F295" s="121"/>
      <c r="H295" s="136"/>
      <c r="I295" s="136"/>
    </row>
    <row r="296" spans="1:9" hidden="1">
      <c r="A296" s="350" t="str">
        <f>Texte!A152</f>
        <v xml:space="preserve">Milchschaf </v>
      </c>
      <c r="B296" s="248"/>
      <c r="F296" s="121"/>
      <c r="H296" s="136"/>
      <c r="I296" s="136"/>
    </row>
    <row r="297" spans="1:9" hidden="1">
      <c r="A297" s="350" t="str">
        <f>Texte!A153</f>
        <v>Andere Schafe über 365 d</v>
      </c>
      <c r="B297" s="248"/>
      <c r="F297" s="121"/>
      <c r="H297" s="136"/>
      <c r="I297" s="136"/>
    </row>
    <row r="298" spans="1:9" hidden="1">
      <c r="A298" s="350" t="str">
        <f>Texte!A154</f>
        <v>Jungschafe über 180 bis 365 d</v>
      </c>
      <c r="B298" s="248"/>
      <c r="F298" s="121"/>
      <c r="H298" s="136"/>
      <c r="I298" s="136"/>
    </row>
    <row r="299" spans="1:9" hidden="1">
      <c r="A299" s="350" t="str">
        <f>Texte!A155</f>
        <v>Lamm bis 180 d</v>
      </c>
      <c r="B299" s="248"/>
      <c r="F299" s="121"/>
      <c r="H299" s="136"/>
      <c r="I299" s="136"/>
    </row>
    <row r="300" spans="1:9" hidden="1">
      <c r="A300" s="350" t="str">
        <f>Texte!A156</f>
        <v>Milchziege</v>
      </c>
      <c r="B300" s="248"/>
      <c r="F300" s="121"/>
      <c r="H300" s="136"/>
      <c r="I300" s="136"/>
    </row>
    <row r="301" spans="1:9" hidden="1">
      <c r="A301" s="350" t="str">
        <f>Texte!A157</f>
        <v>Andere Ziegen über 365 d</v>
      </c>
      <c r="B301" s="248"/>
      <c r="F301" s="121"/>
      <c r="H301" s="136"/>
      <c r="I301" s="136"/>
    </row>
    <row r="302" spans="1:9" hidden="1">
      <c r="A302" s="350" t="str">
        <f>Texte!A158</f>
        <v>Jungziegen über 180 bis 365 d</v>
      </c>
      <c r="B302" s="248"/>
      <c r="F302" s="121"/>
      <c r="H302" s="136"/>
      <c r="I302" s="136"/>
    </row>
    <row r="303" spans="1:9" hidden="1">
      <c r="A303" s="350" t="str">
        <f>Texte!A159</f>
        <v>Zicklein bis 180 d (Milchziegenherde)</v>
      </c>
      <c r="B303" s="248"/>
      <c r="F303" s="121"/>
      <c r="H303" s="136"/>
      <c r="I303" s="136"/>
    </row>
    <row r="304" spans="1:9" hidden="1">
      <c r="A304" s="350" t="str">
        <f>Texte!A160</f>
        <v>Zicklein bis 180 d (Mutterziegenherde)</v>
      </c>
      <c r="B304" s="248"/>
      <c r="F304" s="121"/>
      <c r="H304" s="136"/>
      <c r="I304" s="136"/>
    </row>
    <row r="305" spans="1:9" hidden="1">
      <c r="A305" s="350" t="str">
        <f>Texte!A161</f>
        <v>Damhirsche inkl. Jungtiere, 1 Einheit=2 Tiere</v>
      </c>
      <c r="B305" s="248"/>
      <c r="F305" s="121"/>
      <c r="H305" s="136"/>
      <c r="I305" s="136"/>
    </row>
    <row r="306" spans="1:9" hidden="1">
      <c r="A306" s="350" t="str">
        <f>Texte!A162</f>
        <v>Rothirsche inkl. Jungtiere, 1 Einheit=2 Tiere</v>
      </c>
      <c r="B306" s="248"/>
      <c r="F306" s="121"/>
      <c r="H306" s="136"/>
      <c r="I306" s="136"/>
    </row>
    <row r="307" spans="1:9" hidden="1">
      <c r="A307" s="350" t="str">
        <f>Texte!A163</f>
        <v>Wapiti inkl. Jungtiere, 1 Einheit=2 Tiere</v>
      </c>
      <c r="B307" s="248"/>
      <c r="F307" s="121"/>
      <c r="H307" s="136"/>
      <c r="I307" s="136"/>
    </row>
    <row r="308" spans="1:9" hidden="1">
      <c r="A308" s="350" t="str">
        <f>Texte!A164</f>
        <v>Bisons über 900 d</v>
      </c>
      <c r="B308" s="248"/>
      <c r="F308" s="121"/>
      <c r="H308" s="136"/>
      <c r="I308" s="136"/>
    </row>
    <row r="309" spans="1:9" hidden="1">
      <c r="A309" s="350" t="str">
        <f>Texte!A165</f>
        <v>Bisons bis 900 d</v>
      </c>
      <c r="B309" s="248"/>
      <c r="F309" s="121"/>
      <c r="H309" s="136"/>
      <c r="I309" s="136"/>
    </row>
    <row r="310" spans="1:9" hidden="1">
      <c r="A310" s="350" t="str">
        <f>Texte!A166</f>
        <v>Lamas über 2-jährig</v>
      </c>
      <c r="B310" s="248"/>
      <c r="F310" s="121"/>
      <c r="H310" s="136"/>
      <c r="I310" s="136"/>
    </row>
    <row r="311" spans="1:9" hidden="1">
      <c r="A311" s="350" t="str">
        <f>Texte!A167</f>
        <v>Lamas unter 2-jährig</v>
      </c>
      <c r="B311" s="248"/>
      <c r="F311" s="121"/>
      <c r="H311" s="136"/>
      <c r="I311" s="136"/>
    </row>
    <row r="312" spans="1:9" hidden="1">
      <c r="A312" s="350" t="str">
        <f>Texte!A168</f>
        <v>Alpakas über 2-jährig</v>
      </c>
      <c r="B312" s="248"/>
      <c r="F312" s="121"/>
      <c r="H312" s="136"/>
      <c r="I312" s="136"/>
    </row>
    <row r="313" spans="1:9" hidden="1">
      <c r="A313" s="350" t="str">
        <f>Texte!A169</f>
        <v>Alpakas unter 2-jährig</v>
      </c>
      <c r="B313" s="248"/>
      <c r="F313" s="121"/>
      <c r="H313" s="136"/>
      <c r="I313" s="136"/>
    </row>
    <row r="314" spans="1:9" hidden="1">
      <c r="A314" s="350"/>
      <c r="B314" s="248"/>
      <c r="F314" s="121"/>
      <c r="H314" s="136"/>
      <c r="I314" s="136"/>
    </row>
    <row r="315" spans="1:9" hidden="1">
      <c r="A315" s="350"/>
      <c r="B315" s="248"/>
      <c r="F315" s="121"/>
      <c r="H315" s="136"/>
      <c r="I315" s="136"/>
    </row>
    <row r="316" spans="1:9" hidden="1">
      <c r="A316" s="350" t="str">
        <f>Texte!A179</f>
        <v>Zuchtschweine inkl. Ferkel bis 26 kg</v>
      </c>
      <c r="B316" s="248"/>
      <c r="F316" s="121"/>
      <c r="H316" s="136"/>
      <c r="I316" s="136"/>
    </row>
    <row r="317" spans="1:9" hidden="1">
      <c r="A317" s="350" t="str">
        <f>Texte!A180</f>
        <v>Galtsauenplatz, 2.94 Umtriebe</v>
      </c>
      <c r="B317" s="248"/>
      <c r="F317" s="121"/>
      <c r="H317" s="136"/>
      <c r="I317" s="136"/>
    </row>
    <row r="318" spans="1:9" hidden="1">
      <c r="A318" s="350" t="str">
        <f>Texte!A181</f>
        <v>Galtsauen, pro Umtrieb</v>
      </c>
      <c r="B318" s="248"/>
      <c r="F318" s="121"/>
      <c r="H318" s="136"/>
      <c r="I318" s="136"/>
    </row>
    <row r="319" spans="1:9" hidden="1">
      <c r="A319" s="350" t="str">
        <f>Texte!A182</f>
        <v>Zuchtschweine, säugend, 9.86 Umtriebe</v>
      </c>
      <c r="B319" s="248"/>
      <c r="F319" s="121"/>
      <c r="H319" s="136"/>
      <c r="I319" s="136"/>
    </row>
    <row r="320" spans="1:9" hidden="1">
      <c r="A320" s="350" t="str">
        <f>Texte!A183</f>
        <v>Zuchtschweine, säugend, pro Umtrieb</v>
      </c>
      <c r="B320" s="248"/>
      <c r="F320" s="121"/>
      <c r="H320" s="136"/>
      <c r="I320" s="136"/>
    </row>
    <row r="321" spans="1:9" hidden="1">
      <c r="A321" s="350" t="str">
        <f>Texte!A184</f>
        <v>Zuchteber</v>
      </c>
      <c r="B321" s="248"/>
      <c r="F321" s="121"/>
      <c r="H321" s="136"/>
      <c r="I321" s="136"/>
    </row>
    <row r="322" spans="1:9" hidden="1">
      <c r="A322" s="350" t="str">
        <f>Texte!A177</f>
        <v>Mastschweineplatz / Remonten (26-108 kg)</v>
      </c>
      <c r="B322" s="248"/>
      <c r="F322" s="121"/>
      <c r="H322" s="136"/>
      <c r="I322" s="136"/>
    </row>
    <row r="323" spans="1:9" hidden="1">
      <c r="A323" s="121"/>
      <c r="F323" s="121"/>
      <c r="H323" s="136"/>
      <c r="I323" s="136"/>
    </row>
    <row r="324" spans="1:9" hidden="1">
      <c r="A324" s="121"/>
      <c r="F324" s="121"/>
      <c r="H324" s="136"/>
      <c r="I324" s="136"/>
    </row>
    <row r="325" spans="1:9" hidden="1">
      <c r="F325" s="121"/>
      <c r="H325" s="136"/>
      <c r="I325" s="136"/>
    </row>
    <row r="326" spans="1:9" hidden="1">
      <c r="A326" s="121"/>
      <c r="F326" s="121"/>
      <c r="H326" s="136"/>
      <c r="I326" s="136"/>
    </row>
    <row r="327" spans="1:9">
      <c r="A327" s="121"/>
      <c r="F327" s="121"/>
      <c r="H327" s="136"/>
      <c r="I327" s="136"/>
    </row>
    <row r="328" spans="1:9">
      <c r="A328" s="121"/>
      <c r="F328" s="121"/>
      <c r="H328" s="136"/>
      <c r="I328" s="136"/>
    </row>
    <row r="329" spans="1:9">
      <c r="A329" s="121"/>
      <c r="G329" s="136"/>
      <c r="H329" s="136"/>
      <c r="I329" s="136"/>
    </row>
    <row r="330" spans="1:9">
      <c r="A330" s="121"/>
      <c r="G330" s="136"/>
      <c r="H330" s="136"/>
      <c r="I330" s="136"/>
    </row>
    <row r="331" spans="1:9">
      <c r="A331" s="121"/>
      <c r="G331" s="136"/>
      <c r="H331" s="136"/>
      <c r="I331" s="136"/>
    </row>
    <row r="332" spans="1:9">
      <c r="A332" s="121"/>
      <c r="G332" s="136"/>
      <c r="H332" s="136"/>
      <c r="I332" s="136"/>
    </row>
    <row r="333" spans="1:9">
      <c r="A333" s="121"/>
      <c r="G333" s="136"/>
      <c r="H333" s="136"/>
      <c r="I333" s="136"/>
    </row>
    <row r="334" spans="1:9">
      <c r="A334" s="121"/>
      <c r="G334" s="136"/>
      <c r="H334" s="136"/>
      <c r="I334" s="136"/>
    </row>
    <row r="335" spans="1:9">
      <c r="A335" s="121"/>
      <c r="G335" s="136"/>
      <c r="H335" s="136"/>
      <c r="I335" s="136"/>
    </row>
    <row r="336" spans="1:9">
      <c r="A336" s="121"/>
      <c r="G336" s="136"/>
      <c r="H336" s="136"/>
      <c r="I336" s="136"/>
    </row>
    <row r="337" spans="1:9">
      <c r="A337" s="121"/>
      <c r="G337" s="136"/>
      <c r="H337" s="136"/>
      <c r="I337" s="136"/>
    </row>
    <row r="338" spans="1:9">
      <c r="A338" s="121"/>
      <c r="G338" s="136"/>
      <c r="H338" s="136"/>
      <c r="I338" s="136"/>
    </row>
    <row r="339" spans="1:9">
      <c r="A339" s="121"/>
      <c r="G339" s="136"/>
      <c r="H339" s="136"/>
      <c r="I339" s="136"/>
    </row>
    <row r="340" spans="1:9">
      <c r="A340" s="121"/>
      <c r="G340" s="136"/>
      <c r="H340" s="136"/>
      <c r="I340" s="136"/>
    </row>
    <row r="341" spans="1:9">
      <c r="A341" s="121"/>
      <c r="G341" s="136"/>
      <c r="H341" s="136"/>
      <c r="I341" s="136"/>
    </row>
    <row r="342" spans="1:9">
      <c r="A342" s="121"/>
      <c r="G342" s="136"/>
      <c r="H342" s="136"/>
      <c r="I342" s="136"/>
    </row>
    <row r="343" spans="1:9">
      <c r="A343" s="121"/>
      <c r="G343" s="136"/>
      <c r="H343" s="136"/>
      <c r="I343" s="136"/>
    </row>
    <row r="344" spans="1:9">
      <c r="A344" s="121"/>
      <c r="G344" s="136"/>
      <c r="H344" s="136"/>
      <c r="I344" s="136"/>
    </row>
    <row r="345" spans="1:9">
      <c r="A345" s="121"/>
      <c r="G345" s="136"/>
      <c r="H345" s="136"/>
      <c r="I345" s="136"/>
    </row>
    <row r="346" spans="1:9">
      <c r="A346" s="121"/>
      <c r="G346" s="136"/>
      <c r="H346" s="136"/>
      <c r="I346" s="136"/>
    </row>
    <row r="347" spans="1:9">
      <c r="A347" s="121"/>
      <c r="G347" s="136"/>
      <c r="H347" s="136"/>
      <c r="I347" s="136"/>
    </row>
    <row r="348" spans="1:9">
      <c r="A348" s="121"/>
      <c r="G348" s="136"/>
      <c r="H348" s="136"/>
      <c r="I348" s="136"/>
    </row>
    <row r="349" spans="1:9">
      <c r="A349" s="121"/>
      <c r="G349" s="136"/>
      <c r="H349" s="136"/>
      <c r="I349" s="136"/>
    </row>
    <row r="350" spans="1:9">
      <c r="A350" s="121"/>
      <c r="G350" s="136"/>
      <c r="H350" s="136"/>
      <c r="I350" s="136"/>
    </row>
    <row r="351" spans="1:9">
      <c r="A351" s="121"/>
      <c r="G351" s="136"/>
      <c r="H351" s="136"/>
      <c r="I351" s="136"/>
    </row>
    <row r="352" spans="1:9">
      <c r="A352" s="121"/>
      <c r="G352" s="136"/>
      <c r="H352" s="136"/>
      <c r="I352" s="136"/>
    </row>
    <row r="353" spans="1:9">
      <c r="A353" s="121"/>
      <c r="G353" s="136"/>
      <c r="H353" s="136"/>
      <c r="I353" s="136"/>
    </row>
    <row r="354" spans="1:9">
      <c r="A354" s="121"/>
      <c r="G354" s="136"/>
      <c r="H354" s="136"/>
      <c r="I354" s="136"/>
    </row>
    <row r="355" spans="1:9">
      <c r="A355" s="121"/>
      <c r="B355" s="136"/>
      <c r="C355" s="136"/>
      <c r="D355" s="136"/>
      <c r="E355" s="136"/>
      <c r="F355" s="136"/>
      <c r="G355" s="136"/>
      <c r="H355" s="136"/>
      <c r="I355" s="136"/>
    </row>
    <row r="356" spans="1:9">
      <c r="A356" s="121"/>
      <c r="B356" s="136"/>
      <c r="C356" s="136"/>
      <c r="D356" s="136"/>
      <c r="E356" s="136"/>
      <c r="F356" s="136"/>
      <c r="G356" s="136"/>
      <c r="H356" s="136"/>
      <c r="I356" s="136"/>
    </row>
    <row r="357" spans="1:9">
      <c r="A357" s="121"/>
      <c r="B357" s="136"/>
      <c r="C357" s="136"/>
      <c r="D357" s="136"/>
      <c r="E357" s="136"/>
      <c r="F357" s="136"/>
      <c r="G357" s="136"/>
      <c r="H357" s="136"/>
      <c r="I357" s="136"/>
    </row>
    <row r="358" spans="1:9">
      <c r="A358" s="121"/>
      <c r="B358" s="136"/>
      <c r="C358" s="136"/>
      <c r="D358" s="136"/>
      <c r="E358" s="136"/>
      <c r="F358" s="136"/>
      <c r="G358" s="136"/>
      <c r="H358" s="136"/>
      <c r="I358" s="136"/>
    </row>
    <row r="359" spans="1:9">
      <c r="A359" s="121"/>
      <c r="B359" s="136"/>
      <c r="C359" s="136"/>
      <c r="D359" s="136"/>
      <c r="E359" s="136"/>
      <c r="F359" s="136"/>
      <c r="G359" s="136"/>
      <c r="H359" s="136"/>
      <c r="I359" s="136"/>
    </row>
    <row r="360" spans="1:9">
      <c r="A360" s="121"/>
      <c r="B360" s="136"/>
      <c r="C360" s="136"/>
      <c r="D360" s="136"/>
      <c r="E360" s="136"/>
      <c r="F360" s="136"/>
      <c r="G360" s="136"/>
      <c r="H360" s="136"/>
      <c r="I360" s="136"/>
    </row>
    <row r="361" spans="1:9">
      <c r="A361" s="121"/>
      <c r="B361" s="136"/>
      <c r="C361" s="136"/>
      <c r="D361" s="136"/>
      <c r="E361" s="136"/>
      <c r="F361" s="136"/>
      <c r="G361" s="136"/>
      <c r="H361" s="136"/>
      <c r="I361" s="136"/>
    </row>
    <row r="362" spans="1:9">
      <c r="A362" s="121"/>
      <c r="B362" s="136"/>
      <c r="C362" s="136"/>
      <c r="D362" s="136"/>
      <c r="E362" s="136"/>
      <c r="F362" s="136"/>
      <c r="G362" s="136"/>
      <c r="H362" s="136"/>
      <c r="I362" s="136"/>
    </row>
    <row r="363" spans="1:9">
      <c r="A363" s="121"/>
      <c r="B363" s="136"/>
      <c r="C363" s="136"/>
      <c r="D363" s="136"/>
      <c r="E363" s="136"/>
      <c r="F363" s="136"/>
      <c r="G363" s="136"/>
      <c r="H363" s="136"/>
      <c r="I363" s="136"/>
    </row>
    <row r="364" spans="1:9">
      <c r="A364" s="121"/>
      <c r="B364" s="136"/>
      <c r="C364" s="136"/>
      <c r="D364" s="136"/>
      <c r="E364" s="136"/>
      <c r="F364" s="136"/>
      <c r="G364" s="136"/>
      <c r="H364" s="136"/>
      <c r="I364" s="136"/>
    </row>
    <row r="365" spans="1:9">
      <c r="A365" s="121"/>
      <c r="B365" s="136"/>
      <c r="C365" s="136"/>
      <c r="D365" s="136"/>
      <c r="E365" s="136"/>
      <c r="F365" s="136"/>
      <c r="G365" s="136"/>
      <c r="H365" s="136"/>
      <c r="I365" s="136"/>
    </row>
    <row r="366" spans="1:9">
      <c r="A366" s="121"/>
      <c r="B366" s="136"/>
      <c r="C366" s="136"/>
      <c r="D366" s="136"/>
      <c r="E366" s="136"/>
      <c r="F366" s="136"/>
      <c r="G366" s="136"/>
      <c r="H366" s="136"/>
      <c r="I366" s="136"/>
    </row>
    <row r="367" spans="1:9">
      <c r="A367" s="121"/>
      <c r="B367" s="136"/>
      <c r="C367" s="136"/>
      <c r="D367" s="136"/>
      <c r="E367" s="136"/>
      <c r="F367" s="136"/>
      <c r="G367" s="136"/>
      <c r="H367" s="136"/>
      <c r="I367" s="136"/>
    </row>
    <row r="368" spans="1:9">
      <c r="A368" s="121"/>
      <c r="B368" s="136"/>
      <c r="C368" s="136"/>
      <c r="D368" s="136"/>
      <c r="E368" s="136"/>
      <c r="F368" s="136"/>
      <c r="G368" s="136"/>
      <c r="H368" s="136"/>
      <c r="I368" s="136"/>
    </row>
    <row r="369" spans="1:9">
      <c r="A369" s="121"/>
      <c r="B369" s="136"/>
      <c r="C369" s="136"/>
      <c r="D369" s="136"/>
      <c r="E369" s="136"/>
      <c r="F369" s="136"/>
      <c r="G369" s="136"/>
      <c r="H369" s="136"/>
      <c r="I369" s="136"/>
    </row>
    <row r="370" spans="1:9">
      <c r="A370" s="121"/>
      <c r="B370" s="136"/>
      <c r="C370" s="136"/>
      <c r="D370" s="136"/>
      <c r="E370" s="136"/>
      <c r="F370" s="136"/>
      <c r="G370" s="136"/>
      <c r="H370" s="136"/>
      <c r="I370" s="136"/>
    </row>
    <row r="371" spans="1:9">
      <c r="A371" s="121"/>
      <c r="B371" s="136"/>
      <c r="C371" s="136"/>
      <c r="D371" s="136"/>
      <c r="E371" s="136"/>
      <c r="F371" s="136"/>
      <c r="G371" s="136"/>
      <c r="H371" s="136"/>
      <c r="I371" s="136"/>
    </row>
    <row r="372" spans="1:9">
      <c r="A372" s="121"/>
      <c r="B372" s="136"/>
      <c r="C372" s="136"/>
      <c r="D372" s="136"/>
      <c r="E372" s="136"/>
      <c r="F372" s="136"/>
      <c r="G372" s="136"/>
      <c r="H372" s="136"/>
      <c r="I372" s="136"/>
    </row>
    <row r="373" spans="1:9">
      <c r="A373" s="121"/>
      <c r="B373" s="136"/>
      <c r="C373" s="136"/>
      <c r="D373" s="136"/>
      <c r="E373" s="136"/>
      <c r="F373" s="136"/>
      <c r="G373" s="136"/>
      <c r="H373" s="136"/>
      <c r="I373" s="136"/>
    </row>
    <row r="374" spans="1:9">
      <c r="A374" s="121"/>
      <c r="B374" s="136"/>
      <c r="C374" s="136"/>
      <c r="D374" s="136"/>
      <c r="E374" s="136"/>
      <c r="F374" s="136"/>
      <c r="G374" s="136"/>
      <c r="H374" s="136"/>
      <c r="I374" s="136"/>
    </row>
    <row r="375" spans="1:9">
      <c r="A375" s="121"/>
      <c r="B375" s="136"/>
      <c r="C375" s="136"/>
      <c r="D375" s="136"/>
      <c r="E375" s="136"/>
      <c r="F375" s="136"/>
      <c r="G375" s="136"/>
      <c r="H375" s="136"/>
      <c r="I375" s="136"/>
    </row>
    <row r="376" spans="1:9">
      <c r="A376" s="121"/>
      <c r="B376" s="136"/>
      <c r="C376" s="136"/>
      <c r="D376" s="136"/>
      <c r="E376" s="136"/>
      <c r="F376" s="136"/>
      <c r="G376" s="136"/>
      <c r="H376" s="136"/>
      <c r="I376" s="136"/>
    </row>
    <row r="377" spans="1:9" ht="13.15" customHeight="1">
      <c r="A377" s="367"/>
      <c r="D377" s="136"/>
      <c r="E377" s="136"/>
      <c r="F377" s="136"/>
      <c r="G377" s="136"/>
      <c r="H377" s="136"/>
      <c r="I377" s="136"/>
    </row>
    <row r="378" spans="1:9">
      <c r="D378" s="136"/>
      <c r="E378" s="136"/>
      <c r="F378" s="136"/>
      <c r="G378" s="136"/>
      <c r="H378" s="136"/>
      <c r="I378" s="136"/>
    </row>
    <row r="379" spans="1:9">
      <c r="A379" s="136"/>
      <c r="B379" s="136"/>
      <c r="C379" s="136"/>
      <c r="D379" s="136"/>
      <c r="E379" s="136"/>
      <c r="F379" s="136"/>
      <c r="G379" s="136"/>
      <c r="H379" s="136"/>
      <c r="I379" s="136"/>
    </row>
    <row r="380" spans="1:9">
      <c r="A380" s="136"/>
      <c r="B380" s="136"/>
      <c r="C380" s="136"/>
      <c r="D380" s="136"/>
      <c r="E380" s="136"/>
      <c r="F380" s="136"/>
      <c r="G380" s="136"/>
      <c r="H380" s="136"/>
      <c r="I380" s="136"/>
    </row>
    <row r="381" spans="1:9">
      <c r="A381" s="136"/>
      <c r="B381" s="136"/>
      <c r="C381" s="136"/>
      <c r="D381" s="136"/>
      <c r="E381" s="136"/>
      <c r="F381" s="136"/>
      <c r="G381" s="136"/>
      <c r="H381" s="136"/>
      <c r="I381" s="136"/>
    </row>
    <row r="382" spans="1:9">
      <c r="A382" s="136"/>
      <c r="B382" s="136"/>
      <c r="C382" s="136"/>
      <c r="D382" s="136"/>
      <c r="E382" s="136"/>
      <c r="F382" s="136"/>
      <c r="G382" s="136"/>
      <c r="H382" s="136"/>
      <c r="I382" s="136"/>
    </row>
    <row r="383" spans="1:9">
      <c r="A383" s="136"/>
      <c r="B383" s="136"/>
      <c r="C383" s="136"/>
      <c r="D383" s="136"/>
      <c r="E383" s="136"/>
      <c r="F383" s="136"/>
      <c r="G383" s="136"/>
      <c r="H383" s="136"/>
      <c r="I383" s="136"/>
    </row>
    <row r="384" spans="1:9">
      <c r="A384" s="136"/>
      <c r="B384" s="136"/>
      <c r="C384" s="136"/>
      <c r="D384" s="136"/>
      <c r="E384" s="136"/>
      <c r="F384" s="136"/>
      <c r="G384" s="136"/>
      <c r="H384" s="136"/>
      <c r="I384" s="136"/>
    </row>
    <row r="385" spans="1:9">
      <c r="A385" s="136"/>
      <c r="B385" s="136"/>
      <c r="C385" s="136"/>
      <c r="D385" s="136"/>
      <c r="E385" s="136"/>
      <c r="F385" s="136"/>
      <c r="G385" s="136"/>
      <c r="H385" s="136"/>
      <c r="I385" s="136"/>
    </row>
    <row r="386" spans="1:9">
      <c r="A386" s="136"/>
      <c r="B386" s="136"/>
      <c r="C386" s="136"/>
      <c r="D386" s="136"/>
      <c r="E386" s="136"/>
      <c r="F386" s="136"/>
      <c r="G386" s="136"/>
      <c r="H386" s="136"/>
      <c r="I386" s="136"/>
    </row>
    <row r="387" spans="1:9">
      <c r="A387" s="136"/>
      <c r="B387" s="136"/>
      <c r="C387" s="136"/>
      <c r="D387" s="136"/>
      <c r="E387" s="136"/>
      <c r="F387" s="136"/>
      <c r="G387" s="136"/>
      <c r="H387" s="136"/>
      <c r="I387" s="136"/>
    </row>
    <row r="388" spans="1:9">
      <c r="A388" s="136"/>
      <c r="B388" s="136"/>
      <c r="C388" s="136"/>
      <c r="D388" s="136"/>
      <c r="E388" s="136"/>
      <c r="F388" s="136"/>
      <c r="G388" s="136"/>
      <c r="H388" s="136"/>
      <c r="I388" s="136"/>
    </row>
    <row r="389" spans="1:9">
      <c r="A389" s="136"/>
      <c r="B389" s="136"/>
      <c r="C389" s="136"/>
      <c r="D389" s="136"/>
      <c r="E389" s="136"/>
      <c r="F389" s="136"/>
      <c r="G389" s="136"/>
      <c r="H389" s="136"/>
      <c r="I389" s="136"/>
    </row>
    <row r="390" spans="1:9">
      <c r="A390" s="136"/>
      <c r="B390" s="136"/>
      <c r="C390" s="136"/>
      <c r="D390" s="136"/>
      <c r="E390" s="136"/>
      <c r="F390" s="136"/>
      <c r="G390" s="136"/>
      <c r="H390" s="136"/>
      <c r="I390" s="136"/>
    </row>
    <row r="391" spans="1:9">
      <c r="A391" s="136"/>
      <c r="B391" s="136"/>
      <c r="C391" s="136"/>
      <c r="D391" s="136"/>
      <c r="E391" s="136"/>
      <c r="F391" s="136"/>
      <c r="G391" s="136"/>
      <c r="H391" s="136"/>
      <c r="I391" s="136"/>
    </row>
    <row r="392" spans="1:9">
      <c r="A392" s="136"/>
      <c r="B392" s="136"/>
      <c r="C392" s="136"/>
      <c r="D392" s="136"/>
      <c r="E392" s="136"/>
      <c r="F392" s="136"/>
      <c r="G392" s="136"/>
      <c r="H392" s="136"/>
      <c r="I392" s="136"/>
    </row>
    <row r="393" spans="1:9">
      <c r="A393" s="136"/>
      <c r="B393" s="136"/>
      <c r="C393" s="136"/>
      <c r="D393" s="136"/>
      <c r="E393" s="136"/>
      <c r="F393" s="136"/>
      <c r="G393" s="136"/>
      <c r="H393" s="136"/>
      <c r="I393" s="136"/>
    </row>
    <row r="394" spans="1:9">
      <c r="A394" s="136"/>
      <c r="B394" s="136"/>
      <c r="C394" s="136"/>
      <c r="D394" s="136"/>
      <c r="E394" s="136"/>
      <c r="F394" s="136"/>
      <c r="G394" s="136"/>
      <c r="H394" s="136"/>
      <c r="I394" s="136"/>
    </row>
    <row r="395" spans="1:9">
      <c r="A395" s="136"/>
      <c r="B395" s="136"/>
      <c r="C395" s="136"/>
      <c r="D395" s="136"/>
      <c r="E395" s="136"/>
      <c r="F395" s="136"/>
      <c r="G395" s="136"/>
      <c r="H395" s="136"/>
      <c r="I395" s="136"/>
    </row>
    <row r="396" spans="1:9">
      <c r="A396" s="136"/>
      <c r="B396" s="136"/>
      <c r="C396" s="136"/>
      <c r="D396" s="136"/>
      <c r="E396" s="136"/>
      <c r="F396" s="136"/>
      <c r="G396" s="136"/>
      <c r="H396" s="136"/>
      <c r="I396" s="136"/>
    </row>
    <row r="397" spans="1:9">
      <c r="A397" s="136"/>
      <c r="B397" s="136"/>
      <c r="C397" s="136"/>
      <c r="D397" s="136"/>
      <c r="E397" s="136"/>
      <c r="F397" s="136"/>
      <c r="G397" s="136"/>
      <c r="H397" s="136"/>
      <c r="I397" s="136"/>
    </row>
    <row r="398" spans="1:9">
      <c r="A398" s="136"/>
      <c r="B398" s="136"/>
      <c r="C398" s="136"/>
      <c r="D398" s="136"/>
      <c r="E398" s="136"/>
      <c r="F398" s="136"/>
      <c r="G398" s="136"/>
      <c r="H398" s="136"/>
      <c r="I398" s="136"/>
    </row>
    <row r="399" spans="1:9">
      <c r="A399" s="136"/>
      <c r="B399" s="136"/>
      <c r="C399" s="136"/>
      <c r="D399" s="136"/>
      <c r="E399" s="136"/>
      <c r="F399" s="136"/>
      <c r="G399" s="136"/>
      <c r="H399" s="136"/>
      <c r="I399" s="136"/>
    </row>
    <row r="400" spans="1:9">
      <c r="A400" s="136"/>
      <c r="B400" s="136"/>
      <c r="C400" s="136"/>
      <c r="D400" s="136"/>
      <c r="E400" s="136"/>
      <c r="F400" s="136"/>
      <c r="G400" s="136"/>
      <c r="H400" s="136"/>
      <c r="I400" s="136"/>
    </row>
    <row r="401" spans="1:9">
      <c r="A401" s="136"/>
      <c r="B401" s="136"/>
      <c r="C401" s="136"/>
      <c r="D401" s="136"/>
      <c r="E401" s="136"/>
      <c r="F401" s="136"/>
      <c r="G401" s="136"/>
      <c r="H401" s="136"/>
      <c r="I401" s="136"/>
    </row>
    <row r="402" spans="1:9">
      <c r="A402" s="136"/>
      <c r="B402" s="136"/>
      <c r="C402" s="136"/>
      <c r="D402" s="136"/>
      <c r="E402" s="136"/>
      <c r="F402" s="136"/>
      <c r="G402" s="136"/>
      <c r="H402" s="136"/>
      <c r="I402" s="136"/>
    </row>
    <row r="403" spans="1:9">
      <c r="A403" s="136"/>
      <c r="B403" s="136"/>
      <c r="C403" s="136"/>
      <c r="D403" s="136"/>
      <c r="E403" s="136"/>
      <c r="F403" s="136"/>
      <c r="G403" s="136"/>
      <c r="H403" s="136"/>
      <c r="I403" s="136"/>
    </row>
    <row r="404" spans="1:9">
      <c r="A404" s="136"/>
      <c r="B404" s="136"/>
      <c r="C404" s="136"/>
      <c r="D404" s="136"/>
      <c r="E404" s="136"/>
      <c r="F404" s="136"/>
      <c r="G404" s="136"/>
      <c r="H404" s="136"/>
      <c r="I404" s="136"/>
    </row>
    <row r="405" spans="1:9">
      <c r="A405" s="136"/>
      <c r="B405" s="136"/>
      <c r="C405" s="136"/>
      <c r="D405" s="136"/>
      <c r="E405" s="136"/>
      <c r="F405" s="136"/>
      <c r="G405" s="136"/>
      <c r="H405" s="136"/>
      <c r="I405" s="136"/>
    </row>
    <row r="406" spans="1:9">
      <c r="A406" s="136"/>
      <c r="B406" s="136"/>
      <c r="C406" s="136"/>
      <c r="D406" s="136"/>
      <c r="E406" s="136"/>
      <c r="F406" s="136"/>
      <c r="G406" s="136"/>
      <c r="H406" s="136"/>
      <c r="I406" s="136"/>
    </row>
    <row r="407" spans="1:9">
      <c r="A407" s="136"/>
      <c r="B407" s="136"/>
      <c r="C407" s="136"/>
      <c r="D407" s="136"/>
      <c r="E407" s="136"/>
      <c r="F407" s="159"/>
      <c r="G407" s="159"/>
      <c r="H407" s="159"/>
      <c r="I407" s="136"/>
    </row>
    <row r="408" spans="1:9">
      <c r="A408" s="136"/>
      <c r="B408" s="136"/>
      <c r="C408" s="136"/>
      <c r="D408" s="136"/>
      <c r="E408" s="136"/>
      <c r="F408" s="159"/>
      <c r="G408" s="159"/>
      <c r="H408" s="159"/>
      <c r="I408" s="136"/>
    </row>
    <row r="409" spans="1:9">
      <c r="A409" s="136"/>
      <c r="B409" s="136"/>
      <c r="C409" s="136"/>
      <c r="D409" s="136"/>
      <c r="E409" s="136"/>
      <c r="F409" s="159"/>
      <c r="G409" s="159"/>
      <c r="H409" s="159"/>
      <c r="I409" s="136"/>
    </row>
    <row r="410" spans="1:9">
      <c r="A410" s="136"/>
      <c r="B410" s="136"/>
      <c r="C410" s="136"/>
      <c r="D410" s="136"/>
      <c r="E410" s="136"/>
      <c r="F410" s="136"/>
      <c r="G410" s="136"/>
      <c r="H410" s="136"/>
      <c r="I410" s="136"/>
    </row>
    <row r="411" spans="1:9">
      <c r="A411" s="136"/>
      <c r="B411" s="136"/>
      <c r="C411" s="136"/>
      <c r="D411" s="136"/>
      <c r="E411" s="136"/>
      <c r="F411" s="136"/>
      <c r="G411" s="136"/>
      <c r="H411" s="136"/>
      <c r="I411" s="136"/>
    </row>
    <row r="412" spans="1:9">
      <c r="A412" s="136"/>
      <c r="B412" s="136"/>
      <c r="C412" s="136"/>
      <c r="D412" s="136"/>
      <c r="E412" s="136"/>
      <c r="F412" s="136"/>
      <c r="G412" s="136"/>
      <c r="H412" s="136"/>
      <c r="I412" s="136"/>
    </row>
    <row r="413" spans="1:9">
      <c r="A413" s="136"/>
      <c r="B413" s="136"/>
      <c r="C413" s="136"/>
      <c r="D413" s="136"/>
      <c r="E413" s="136"/>
      <c r="F413" s="136"/>
      <c r="G413" s="136"/>
      <c r="H413" s="136"/>
      <c r="I413" s="136"/>
    </row>
    <row r="414" spans="1:9">
      <c r="A414" s="136"/>
      <c r="B414" s="136"/>
      <c r="C414" s="136"/>
      <c r="D414" s="136"/>
      <c r="E414" s="136"/>
      <c r="F414" s="136"/>
      <c r="G414" s="136"/>
      <c r="H414" s="136"/>
      <c r="I414" s="136"/>
    </row>
    <row r="415" spans="1:9">
      <c r="A415" s="136"/>
      <c r="B415" s="136"/>
      <c r="C415" s="136"/>
      <c r="D415" s="136"/>
      <c r="E415" s="136"/>
      <c r="F415" s="136"/>
      <c r="G415" s="136"/>
      <c r="H415" s="136"/>
      <c r="I415" s="136"/>
    </row>
    <row r="416" spans="1:9">
      <c r="A416" s="136"/>
      <c r="B416" s="136"/>
      <c r="C416" s="136"/>
      <c r="D416" s="136"/>
      <c r="E416" s="136"/>
      <c r="F416" s="136"/>
      <c r="G416" s="136"/>
      <c r="H416" s="136"/>
      <c r="I416" s="136"/>
    </row>
    <row r="417" spans="1:9">
      <c r="A417" s="136"/>
      <c r="B417" s="136"/>
      <c r="C417" s="136"/>
      <c r="D417" s="136"/>
      <c r="E417" s="136"/>
      <c r="F417" s="136"/>
      <c r="G417" s="136"/>
      <c r="H417" s="136"/>
      <c r="I417" s="136"/>
    </row>
    <row r="418" spans="1:9">
      <c r="A418" s="136"/>
      <c r="B418" s="136"/>
      <c r="C418" s="136"/>
      <c r="D418" s="136"/>
      <c r="E418" s="136"/>
      <c r="F418" s="136"/>
      <c r="G418" s="136"/>
      <c r="H418" s="136"/>
      <c r="I418" s="136"/>
    </row>
    <row r="419" spans="1:9">
      <c r="A419" s="136"/>
      <c r="B419" s="136"/>
      <c r="C419" s="136"/>
      <c r="D419" s="136"/>
      <c r="E419" s="136"/>
      <c r="F419" s="136"/>
      <c r="G419" s="136"/>
      <c r="H419" s="136"/>
      <c r="I419" s="136"/>
    </row>
    <row r="420" spans="1:9">
      <c r="A420" s="136"/>
      <c r="B420" s="136"/>
      <c r="C420" s="136"/>
      <c r="D420" s="136"/>
      <c r="E420" s="136"/>
      <c r="F420" s="136"/>
      <c r="G420" s="136"/>
      <c r="H420" s="136"/>
      <c r="I420" s="136"/>
    </row>
    <row r="421" spans="1:9">
      <c r="A421" s="136"/>
      <c r="B421" s="136"/>
      <c r="C421" s="136"/>
      <c r="D421" s="136"/>
      <c r="E421" s="136"/>
      <c r="F421" s="136"/>
      <c r="G421" s="136"/>
      <c r="H421" s="136"/>
      <c r="I421" s="136"/>
    </row>
    <row r="422" spans="1:9">
      <c r="A422" s="136"/>
      <c r="B422" s="136"/>
      <c r="C422" s="136"/>
      <c r="D422" s="136"/>
      <c r="E422" s="136"/>
      <c r="F422" s="136"/>
      <c r="G422" s="136"/>
      <c r="H422" s="136"/>
      <c r="I422" s="136"/>
    </row>
    <row r="423" spans="1:9">
      <c r="A423" s="136"/>
      <c r="B423" s="136"/>
      <c r="C423" s="136"/>
      <c r="D423" s="136"/>
      <c r="E423" s="136"/>
      <c r="F423" s="136"/>
      <c r="G423" s="136"/>
      <c r="H423" s="136"/>
      <c r="I423" s="136"/>
    </row>
    <row r="424" spans="1:9">
      <c r="A424" s="136"/>
      <c r="B424" s="136"/>
      <c r="C424" s="136"/>
      <c r="D424" s="136"/>
      <c r="E424" s="136"/>
      <c r="F424" s="136"/>
      <c r="G424" s="136"/>
      <c r="H424" s="136"/>
      <c r="I424" s="136"/>
    </row>
    <row r="425" spans="1:9">
      <c r="A425" s="136"/>
      <c r="B425" s="136"/>
      <c r="C425" s="136"/>
      <c r="D425" s="136"/>
      <c r="E425" s="136"/>
      <c r="F425" s="136"/>
      <c r="G425" s="136"/>
      <c r="H425" s="136"/>
      <c r="I425" s="136"/>
    </row>
    <row r="426" spans="1:9">
      <c r="A426" s="136"/>
      <c r="B426" s="136"/>
      <c r="C426" s="136"/>
      <c r="D426" s="136"/>
      <c r="E426" s="136"/>
      <c r="F426" s="136"/>
      <c r="G426" s="136"/>
      <c r="H426" s="136"/>
      <c r="I426" s="136"/>
    </row>
    <row r="427" spans="1:9">
      <c r="A427" s="136"/>
      <c r="B427" s="136"/>
      <c r="C427" s="136"/>
      <c r="D427" s="136"/>
      <c r="E427" s="136"/>
      <c r="F427" s="136"/>
      <c r="G427" s="136"/>
      <c r="H427" s="136"/>
      <c r="I427" s="136"/>
    </row>
    <row r="428" spans="1:9">
      <c r="A428" s="136"/>
      <c r="B428" s="136"/>
      <c r="C428" s="136"/>
    </row>
    <row r="429" spans="1:9">
      <c r="A429" s="136"/>
      <c r="B429" s="136"/>
      <c r="C429" s="136"/>
    </row>
    <row r="430" spans="1:9">
      <c r="A430" s="136"/>
      <c r="B430" s="136"/>
      <c r="C430" s="136"/>
    </row>
    <row r="431" spans="1:9">
      <c r="A431" s="136"/>
      <c r="B431" s="136"/>
      <c r="C431" s="136"/>
    </row>
    <row r="432" spans="1:9">
      <c r="A432" s="136"/>
      <c r="B432" s="136"/>
      <c r="C432" s="136"/>
    </row>
    <row r="433" spans="1:3">
      <c r="A433" s="136"/>
      <c r="B433" s="136"/>
      <c r="C433" s="136"/>
    </row>
    <row r="434" spans="1:3">
      <c r="A434" s="136"/>
      <c r="B434" s="136"/>
      <c r="C434" s="136"/>
    </row>
    <row r="435" spans="1:3">
      <c r="A435" s="136"/>
      <c r="B435" s="136"/>
      <c r="C435" s="136"/>
    </row>
    <row r="436" spans="1:3">
      <c r="A436" s="136"/>
      <c r="B436" s="136"/>
      <c r="C436" s="136"/>
    </row>
    <row r="437" spans="1:3">
      <c r="A437" s="136"/>
      <c r="B437" s="136"/>
      <c r="C437" s="136"/>
    </row>
    <row r="438" spans="1:3">
      <c r="A438" s="136"/>
      <c r="B438" s="136"/>
      <c r="C438" s="136"/>
    </row>
    <row r="439" spans="1:3">
      <c r="A439" s="136"/>
      <c r="B439" s="136"/>
      <c r="C439" s="136"/>
    </row>
    <row r="440" spans="1:3">
      <c r="A440" s="136"/>
      <c r="B440" s="136"/>
      <c r="C440" s="136"/>
    </row>
    <row r="441" spans="1:3">
      <c r="A441" s="136"/>
      <c r="B441" s="136"/>
      <c r="C441" s="136"/>
    </row>
    <row r="442" spans="1:3">
      <c r="A442" s="136"/>
      <c r="B442" s="136"/>
      <c r="C442" s="136"/>
    </row>
    <row r="443" spans="1:3">
      <c r="A443" s="159"/>
    </row>
    <row r="444" spans="1:3">
      <c r="A444" s="159"/>
    </row>
  </sheetData>
  <sheetProtection password="98F7" sheet="1" objects="1" scenarios="1"/>
  <mergeCells count="24">
    <mergeCell ref="B81:E81"/>
    <mergeCell ref="B67:E67"/>
    <mergeCell ref="B64:E64"/>
    <mergeCell ref="B65:E65"/>
    <mergeCell ref="B66:E66"/>
    <mergeCell ref="B60:E60"/>
    <mergeCell ref="B79:E79"/>
    <mergeCell ref="B80:E80"/>
    <mergeCell ref="B58:E58"/>
    <mergeCell ref="B59:E59"/>
    <mergeCell ref="B78:E78"/>
    <mergeCell ref="N15:S15"/>
    <mergeCell ref="N16:S16"/>
    <mergeCell ref="C15:I15"/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E224">
    <cfRule type="expression" dxfId="26" priority="34" stopIfTrue="1">
      <formula>OR(AND($V$11=1,$Z$183="ok"),AND($V$11=2,$AA$183="ok"))</formula>
    </cfRule>
    <cfRule type="expression" dxfId="25" priority="35" stopIfTrue="1">
      <formula>OR(AND($V$11=1,$Z$183="nein"),AND($V$11=2,$AA$183="nein"))</formula>
    </cfRule>
  </conditionalFormatting>
  <conditionalFormatting sqref="E225">
    <cfRule type="expression" dxfId="24" priority="36" stopIfTrue="1">
      <formula>OR(AND($V$11=1,$Z$184="ok"),AND($V$11=2,$AA$184="ok"))</formula>
    </cfRule>
    <cfRule type="expression" dxfId="23" priority="37" stopIfTrue="1">
      <formula>OR(AND($V$11=1,$Z$184="nein"),AND($V$11=2,$AA$184="nein"))</formula>
    </cfRule>
  </conditionalFormatting>
  <conditionalFormatting sqref="E226">
    <cfRule type="expression" dxfId="22" priority="38" stopIfTrue="1">
      <formula>OR(AND($V$11=1,$Z$185="ok"),AND($V$11=2,$AA$185="ok"))</formula>
    </cfRule>
    <cfRule type="expression" dxfId="21" priority="39" stopIfTrue="1">
      <formula>OR(AND($V$11=1,$Z$185="nein"),AND($V$11=2,$AA$185="nein"))</formula>
    </cfRule>
  </conditionalFormatting>
  <conditionalFormatting sqref="I185">
    <cfRule type="expression" dxfId="20" priority="40" stopIfTrue="1">
      <formula>OR(AND($V$11=1,$I$185&lt;$Z$173),AND($V$11=2,$I$185&lt;$AA$173))</formula>
    </cfRule>
  </conditionalFormatting>
  <conditionalFormatting sqref="J41">
    <cfRule type="expression" dxfId="19" priority="6" stopIfTrue="1">
      <formula>OR(AND($H$41&lt;0,$G$41&lt;ABS(H41)),I41&gt;365)</formula>
    </cfRule>
  </conditionalFormatting>
  <conditionalFormatting sqref="J42:J47 J49:J60 J62:J67 J74:J81">
    <cfRule type="expression" dxfId="18" priority="7" stopIfTrue="1">
      <formula>OR(AND($H42&lt;0,$G42&lt;ABS(H42)),I42&gt;365)</formula>
    </cfRule>
  </conditionalFormatting>
  <conditionalFormatting sqref="J48">
    <cfRule type="expression" dxfId="17" priority="8" stopIfTrue="1">
      <formula>I48&gt;365</formula>
    </cfRule>
  </conditionalFormatting>
  <conditionalFormatting sqref="K109:K118">
    <cfRule type="cellIs" dxfId="16" priority="5" stopIfTrue="1" operator="greaterThan">
      <formula>$Y109</formula>
    </cfRule>
  </conditionalFormatting>
  <conditionalFormatting sqref="K116">
    <cfRule type="expression" dxfId="15" priority="2" stopIfTrue="1">
      <formula>AND($J$116&gt;0,$L$116&gt;0,$K$116="")</formula>
    </cfRule>
  </conditionalFormatting>
  <conditionalFormatting sqref="K117">
    <cfRule type="expression" dxfId="14" priority="1" stopIfTrue="1">
      <formula>AND($J$117&gt;0,$L$117&gt;0,$K$117="")</formula>
    </cfRule>
  </conditionalFormatting>
  <conditionalFormatting sqref="K167">
    <cfRule type="expression" dxfId="13" priority="9" stopIfTrue="1">
      <formula>W167=0</formula>
    </cfRule>
  </conditionalFormatting>
  <conditionalFormatting sqref="K168">
    <cfRule type="cellIs" dxfId="12" priority="19" stopIfTrue="1" operator="greaterThan">
      <formula>5</formula>
    </cfRule>
  </conditionalFormatting>
  <conditionalFormatting sqref="K185">
    <cfRule type="expression" dxfId="11" priority="3" stopIfTrue="1">
      <formula>OR(AND($V$11=1,$Z$184="nein"),AND($V$11=2,$AA$184="nein"))</formula>
    </cfRule>
  </conditionalFormatting>
  <conditionalFormatting sqref="L118">
    <cfRule type="expression" dxfId="10" priority="24" stopIfTrue="1">
      <formula>AND(ROUND($L$118,0)&lt;&gt;0,$J$118="")</formula>
    </cfRule>
  </conditionalFormatting>
  <conditionalFormatting sqref="M185">
    <cfRule type="expression" dxfId="9" priority="22" stopIfTrue="1">
      <formula>OR(AND($V$11=1,$Z$187="nein"),AND($V$11=2,$AA$187="nein"))</formula>
    </cfRule>
  </conditionalFormatting>
  <conditionalFormatting sqref="M221">
    <cfRule type="expression" dxfId="8" priority="10" stopIfTrue="1">
      <formula>$M$185+$I$185&lt;$M$221</formula>
    </cfRule>
  </conditionalFormatting>
  <conditionalFormatting sqref="O185">
    <cfRule type="expression" dxfId="7" priority="21" stopIfTrue="1">
      <formula>OR(AND($V$11=1,$Z$185="nein"),AND($V$11=2,$AA$185="nein"))</formula>
    </cfRule>
  </conditionalFormatting>
  <conditionalFormatting sqref="O188:O190">
    <cfRule type="expression" dxfId="6" priority="17" stopIfTrue="1">
      <formula>$Z$192=1</formula>
    </cfRule>
    <cfRule type="expression" dxfId="5" priority="18" stopIfTrue="1">
      <formula>$Z$192=2</formula>
    </cfRule>
  </conditionalFormatting>
  <conditionalFormatting sqref="T188:T190">
    <cfRule type="expression" dxfId="4" priority="25" stopIfTrue="1">
      <formula>$Z$194=1</formula>
    </cfRule>
    <cfRule type="expression" dxfId="3" priority="26" stopIfTrue="1">
      <formula>$Z$194=2</formula>
    </cfRule>
  </conditionalFormatting>
  <conditionalFormatting sqref="AL178:AN179">
    <cfRule type="expression" dxfId="2" priority="23" stopIfTrue="1">
      <formula>$V$11=""</formula>
    </cfRule>
  </conditionalFormatting>
  <dataValidations disablePrompts="1" count="10">
    <dataValidation type="list" allowBlank="1" showInputMessage="1" showErrorMessage="1" sqref="N16" xr:uid="{AAED47F7-D526-4D3B-A80F-79311F396B89}">
      <formula1>$AB$8:$AB$13</formula1>
    </dataValidation>
    <dataValidation type="list" allowBlank="1" showInputMessage="1" showErrorMessage="1" sqref="N15" xr:uid="{24731C17-FEC2-4F54-86A8-9E0F7F1F3BA4}">
      <formula1>$Y$8:$Y$11</formula1>
    </dataValidation>
    <dataValidation type="list" allowBlank="1" showInputMessage="1" showErrorMessage="1" sqref="H150 H142 H146" xr:uid="{0061A892-03D3-4502-ACF4-670B8C867965}">
      <formula1>$W$132:$W$134</formula1>
    </dataValidation>
    <dataValidation type="list" allowBlank="1" showInputMessage="1" showErrorMessage="1" sqref="H132:H141 H143:H145" xr:uid="{8606F188-7381-470A-9DF5-3828228FA152}">
      <formula1>$W$130:$W$132</formula1>
    </dataValidation>
    <dataValidation type="list" allowBlank="1" showInputMessage="1" showErrorMessage="1" sqref="B68:E68" xr:uid="{33341B92-F262-44FB-8E2F-83FA32A71382}">
      <formula1>$A$290:$A$308</formula1>
    </dataValidation>
    <dataValidation type="list" allowBlank="1" showInputMessage="1" showErrorMessage="1" sqref="C15" xr:uid="{A29C5874-4822-44D9-B9EA-159CB28CE4C0}">
      <formula1>$V$8:$V$10</formula1>
    </dataValidation>
    <dataValidation type="list" allowBlank="1" showInputMessage="1" showErrorMessage="1" sqref="B78:E81" xr:uid="{A5E81B0C-46E2-46D6-B96F-DED16DAC35C8}">
      <formula1>$A$315:$A$323</formula1>
    </dataValidation>
    <dataValidation type="list" allowBlank="1" showInputMessage="1" showErrorMessage="1" sqref="B58:E60" xr:uid="{3DA09D7A-C64E-46C2-8D47-172A057B0672}">
      <formula1>$A$275:$A$285</formula1>
    </dataValidation>
    <dataValidation type="list" allowBlank="1" showInputMessage="1" showErrorMessage="1" sqref="B64:E67" xr:uid="{7E0C39B7-D377-43B9-BD86-3B0A758BE8D3}">
      <formula1>$A$290:$A$313</formula1>
    </dataValidation>
    <dataValidation type="list" allowBlank="1" showInputMessage="1" showErrorMessage="1" sqref="S33:S34" xr:uid="{798F00AB-AAF7-4290-914B-755C4DC00D73}">
      <formula1>$AD$42:$AD$44</formula1>
    </dataValidation>
  </dataValidations>
  <pageMargins left="0.71" right="0.19" top="0.61" bottom="0.52" header="0.23" footer="0.28000000000000003"/>
  <pageSetup paperSize="9" scale="57" fitToHeight="2" orientation="portrait" r:id="rId1"/>
  <headerFooter alignWithMargins="0">
    <oddFooter>&amp;L&amp;"Arial,Fett"&amp;11© AGRIDEA, BLW&amp;"Arial,Standard"&amp;10  &amp;9GMF / PLVH / PLCSI Version 1.11&amp;C&amp;9&amp;F&amp;R&amp;9&amp;P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5B4A-E96C-42D0-9264-FDC38D57B108}">
  <sheetPr codeName="Tabelle4">
    <pageSetUpPr autoPageBreaks="0"/>
  </sheetPr>
  <dimension ref="A1:Q64"/>
  <sheetViews>
    <sheetView showGridLines="0" showRowColHeaders="0" zoomScaleNormal="100" workbookViewId="0"/>
  </sheetViews>
  <sheetFormatPr baseColWidth="10" defaultColWidth="12.5703125" defaultRowHeight="12.75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3" customWidth="1"/>
    <col min="7" max="7" width="29.5703125" style="1" customWidth="1"/>
    <col min="8" max="16384" width="12.5703125" style="1"/>
  </cols>
  <sheetData>
    <row r="1" spans="1:17" ht="6.95" customHeight="1">
      <c r="B1" s="12"/>
      <c r="C1" s="12"/>
      <c r="D1" s="12"/>
      <c r="E1" s="12"/>
      <c r="F1" s="70"/>
    </row>
    <row r="2" spans="1:17" ht="23.25">
      <c r="A2" s="14"/>
      <c r="B2" s="115" t="str">
        <f>Texte!A371</f>
        <v>Tiernormen</v>
      </c>
      <c r="C2" s="115"/>
      <c r="D2" s="115"/>
      <c r="E2" s="115"/>
      <c r="F2" s="115"/>
    </row>
    <row r="3" spans="1:17" ht="23.25">
      <c r="A3" s="14"/>
      <c r="B3" s="14"/>
      <c r="C3" s="15"/>
      <c r="D3" s="14"/>
      <c r="E3" s="14"/>
      <c r="F3" s="71"/>
    </row>
    <row r="4" spans="1:17" ht="14.45" customHeight="1">
      <c r="A4" s="16"/>
      <c r="B4" s="17"/>
      <c r="C4" s="18"/>
      <c r="D4" s="677" t="str">
        <f>Texte!A374</f>
        <v>Grundfutter-</v>
      </c>
      <c r="E4" s="678"/>
      <c r="F4" s="106" t="str">
        <f>Texte!A378</f>
        <v>GVE</v>
      </c>
    </row>
    <row r="5" spans="1:17" ht="14.45" customHeight="1">
      <c r="A5" s="19"/>
      <c r="B5" s="20"/>
      <c r="C5" s="21"/>
      <c r="D5" s="679" t="str">
        <f>Texte!A375</f>
        <v>verzehr</v>
      </c>
      <c r="E5" s="680"/>
      <c r="F5" s="107" t="str">
        <f>Texte!A379</f>
        <v>Faktoren</v>
      </c>
      <c r="G5" s="621" t="s">
        <v>1314</v>
      </c>
      <c r="H5" s="131" t="s">
        <v>774</v>
      </c>
      <c r="I5" s="131"/>
      <c r="J5" s="636" t="s">
        <v>1313</v>
      </c>
    </row>
    <row r="6" spans="1:17" ht="13.5" customHeight="1">
      <c r="A6" s="16"/>
      <c r="B6" s="22" t="str">
        <f>Texte!A372</f>
        <v>Tierkategorie</v>
      </c>
      <c r="C6" s="23" t="str">
        <f>Texte!A373</f>
        <v>Einheit</v>
      </c>
      <c r="D6" s="24" t="str">
        <f>Texte!A376</f>
        <v>TS/Tag</v>
      </c>
      <c r="E6" s="25" t="str">
        <f>Texte!A377</f>
        <v>TS/Jahr</v>
      </c>
      <c r="F6" s="105"/>
      <c r="G6" s="131"/>
      <c r="H6" s="131"/>
      <c r="I6" s="131"/>
    </row>
    <row r="7" spans="1:17" ht="23.25">
      <c r="A7" s="19"/>
      <c r="B7" s="26"/>
      <c r="C7" s="27"/>
      <c r="D7" s="28" t="s">
        <v>628</v>
      </c>
      <c r="E7" s="29" t="s">
        <v>765</v>
      </c>
      <c r="F7" s="105"/>
      <c r="G7" s="131"/>
      <c r="H7" s="131"/>
      <c r="I7" s="131"/>
    </row>
    <row r="8" spans="1:17">
      <c r="B8" s="30" t="str">
        <f>Texte!A124</f>
        <v>Milchkühe</v>
      </c>
      <c r="C8" s="31" t="str">
        <f>Texte!A382</f>
        <v>1 Stück</v>
      </c>
      <c r="D8" s="104">
        <f>ROUND(E8/365*100,1)</f>
        <v>15.3</v>
      </c>
      <c r="E8" s="572">
        <v>56</v>
      </c>
      <c r="F8" s="108">
        <v>1</v>
      </c>
      <c r="G8" s="131"/>
      <c r="H8" s="131"/>
      <c r="I8" s="131"/>
      <c r="J8" s="45"/>
      <c r="K8" s="45"/>
      <c r="L8" s="45"/>
      <c r="M8" s="44"/>
      <c r="N8" s="44"/>
      <c r="O8" s="44"/>
      <c r="P8" s="44"/>
      <c r="Q8" s="44"/>
    </row>
    <row r="9" spans="1:17">
      <c r="B9" s="32" t="str">
        <f>Texte!A125</f>
        <v>andere Kühe</v>
      </c>
      <c r="C9" s="34" t="str">
        <f>Texte!A382</f>
        <v>1 Stück</v>
      </c>
      <c r="D9" s="33">
        <f t="shared" ref="D9:D55" si="0">ROUND(E9/365*100,1)</f>
        <v>15.3</v>
      </c>
      <c r="E9" s="38">
        <v>56</v>
      </c>
      <c r="F9" s="109">
        <v>1</v>
      </c>
      <c r="G9" s="131"/>
      <c r="H9" s="131"/>
      <c r="I9" s="131"/>
      <c r="J9" s="45"/>
      <c r="K9" s="45"/>
      <c r="L9" s="45"/>
      <c r="M9" s="44"/>
      <c r="N9" s="44"/>
      <c r="O9" s="44"/>
      <c r="P9" s="44"/>
      <c r="Q9" s="44"/>
    </row>
    <row r="10" spans="1:17">
      <c r="B10" s="32" t="str">
        <f>Texte!A126</f>
        <v>Ausmastkuh</v>
      </c>
      <c r="C10" s="34" t="str">
        <f>Texte!A382</f>
        <v>1 Stück</v>
      </c>
      <c r="D10" s="33">
        <f t="shared" si="0"/>
        <v>14.6</v>
      </c>
      <c r="E10" s="38">
        <v>53.2</v>
      </c>
      <c r="F10" s="109">
        <v>1</v>
      </c>
      <c r="G10" s="131"/>
      <c r="H10" s="131"/>
      <c r="I10" s="131"/>
      <c r="J10" s="45"/>
      <c r="K10" s="45"/>
      <c r="L10" s="45"/>
      <c r="M10" s="44"/>
      <c r="N10" s="44"/>
      <c r="O10" s="44"/>
      <c r="P10" s="44"/>
      <c r="Q10" s="44"/>
    </row>
    <row r="11" spans="1:17">
      <c r="B11" s="32" t="str">
        <f>Texte!A127</f>
        <v>Galtkuh</v>
      </c>
      <c r="C11" s="34" t="str">
        <f>Texte!A382</f>
        <v>1 Stück</v>
      </c>
      <c r="D11" s="33">
        <f t="shared" si="0"/>
        <v>11.1</v>
      </c>
      <c r="E11" s="38">
        <v>40.6</v>
      </c>
      <c r="F11" s="109">
        <v>1</v>
      </c>
      <c r="G11" s="131"/>
      <c r="H11" s="131"/>
      <c r="I11" s="131"/>
      <c r="J11" s="45"/>
      <c r="K11" s="45"/>
      <c r="L11" s="45"/>
      <c r="M11" s="44"/>
      <c r="N11" s="44"/>
      <c r="O11" s="44"/>
      <c r="P11" s="44"/>
      <c r="Q11" s="44"/>
    </row>
    <row r="12" spans="1:17">
      <c r="B12" s="32" t="str">
        <f>Texte!A129</f>
        <v>Mutterkühe schwer (LG 700-800 kg)</v>
      </c>
      <c r="C12" s="34" t="str">
        <f>Texte!A382</f>
        <v>1 Stück</v>
      </c>
      <c r="D12" s="33">
        <f t="shared" si="0"/>
        <v>13.7</v>
      </c>
      <c r="E12" s="38">
        <v>50</v>
      </c>
      <c r="F12" s="109">
        <v>1</v>
      </c>
      <c r="G12" s="131"/>
      <c r="H12" s="131"/>
      <c r="I12" s="131"/>
      <c r="J12" s="45"/>
      <c r="K12" s="45"/>
      <c r="L12" s="45"/>
      <c r="M12" s="44"/>
      <c r="N12" s="44"/>
      <c r="O12" s="44"/>
      <c r="P12" s="44"/>
      <c r="Q12" s="44"/>
    </row>
    <row r="13" spans="1:17">
      <c r="B13" s="32" t="str">
        <f>Texte!A130</f>
        <v>Mutterkühe mittel (LG 600-700 kg)</v>
      </c>
      <c r="C13" s="34" t="str">
        <f>Texte!A382</f>
        <v>1 Stück</v>
      </c>
      <c r="D13" s="33">
        <f t="shared" si="0"/>
        <v>12.3</v>
      </c>
      <c r="E13" s="38">
        <v>45</v>
      </c>
      <c r="F13" s="109">
        <v>1</v>
      </c>
      <c r="G13" s="131"/>
      <c r="H13" s="131"/>
      <c r="I13" s="131"/>
      <c r="J13" s="45"/>
      <c r="K13" s="45"/>
      <c r="L13" s="45"/>
      <c r="M13" s="44"/>
      <c r="N13" s="44"/>
      <c r="O13" s="44"/>
      <c r="P13" s="44"/>
      <c r="Q13" s="44"/>
    </row>
    <row r="14" spans="1:17">
      <c r="B14" s="35" t="str">
        <f>Texte!A131</f>
        <v>Mutterkühe leicht (LG bis 600 kg)</v>
      </c>
      <c r="C14" s="37" t="str">
        <f>Texte!A382</f>
        <v>1 Stück</v>
      </c>
      <c r="D14" s="36">
        <f t="shared" si="0"/>
        <v>10.4</v>
      </c>
      <c r="E14" s="39">
        <v>38</v>
      </c>
      <c r="F14" s="109">
        <v>1</v>
      </c>
      <c r="G14" s="131"/>
      <c r="H14" s="131"/>
      <c r="I14" s="131"/>
      <c r="J14" s="45"/>
      <c r="K14" s="45"/>
      <c r="L14" s="45"/>
      <c r="M14" s="44"/>
      <c r="N14" s="44"/>
      <c r="O14" s="44"/>
      <c r="P14" s="44"/>
      <c r="Q14" s="44"/>
    </row>
    <row r="15" spans="1:17">
      <c r="B15" s="32" t="str">
        <f>Texte!A132</f>
        <v>Jungvieh, bis 160 Tage alt</v>
      </c>
      <c r="C15" s="38" t="str">
        <f>Texte!A383</f>
        <v>1 Platz</v>
      </c>
      <c r="D15" s="33">
        <f t="shared" si="0"/>
        <v>1.6</v>
      </c>
      <c r="E15" s="38">
        <v>6</v>
      </c>
      <c r="F15" s="109">
        <v>0.13</v>
      </c>
      <c r="G15" s="131"/>
      <c r="H15" s="131"/>
      <c r="I15" s="131"/>
      <c r="J15" s="45"/>
      <c r="K15" s="45"/>
      <c r="L15" s="45"/>
      <c r="M15" s="44"/>
      <c r="N15" s="44"/>
      <c r="O15" s="44"/>
      <c r="P15" s="44"/>
      <c r="Q15" s="44"/>
    </row>
    <row r="16" spans="1:17">
      <c r="B16" s="32" t="str">
        <f>Texte!A133</f>
        <v>Jungvieh, 160-365 Tage alt</v>
      </c>
      <c r="C16" s="38" t="str">
        <f>Texte!A383</f>
        <v>1 Platz</v>
      </c>
      <c r="D16" s="33">
        <f t="shared" si="0"/>
        <v>5.5</v>
      </c>
      <c r="E16" s="38">
        <v>20.2</v>
      </c>
      <c r="F16" s="111">
        <v>0.33</v>
      </c>
      <c r="G16" s="131"/>
      <c r="H16" s="131"/>
      <c r="I16" s="131"/>
      <c r="J16" s="44"/>
      <c r="K16" s="44"/>
      <c r="L16" s="44"/>
      <c r="M16" s="44"/>
      <c r="N16" s="44"/>
      <c r="O16" s="44"/>
      <c r="P16" s="44"/>
      <c r="Q16" s="44"/>
    </row>
    <row r="17" spans="2:17">
      <c r="B17" s="32" t="str">
        <f>Texte!A134</f>
        <v>Jungvieh, 1 bis 2-jährig</v>
      </c>
      <c r="C17" s="38" t="str">
        <f>Texte!A383</f>
        <v>1 Platz</v>
      </c>
      <c r="D17" s="33">
        <f t="shared" si="0"/>
        <v>7.1</v>
      </c>
      <c r="E17" s="38">
        <v>26</v>
      </c>
      <c r="F17" s="109">
        <v>0.4</v>
      </c>
      <c r="G17" s="131"/>
      <c r="H17" s="131"/>
      <c r="I17" s="131"/>
      <c r="J17" s="44"/>
      <c r="K17" s="44"/>
      <c r="L17" s="44"/>
      <c r="M17" s="44"/>
      <c r="N17" s="44"/>
      <c r="O17" s="44"/>
      <c r="P17" s="44"/>
      <c r="Q17" s="44"/>
    </row>
    <row r="18" spans="2:17">
      <c r="B18" s="35" t="str">
        <f>Texte!A135</f>
        <v>Jungvieh &gt;2-jährig</v>
      </c>
      <c r="C18" s="37" t="str">
        <f>Texte!A383</f>
        <v>1 Platz</v>
      </c>
      <c r="D18" s="36">
        <f t="shared" si="0"/>
        <v>9</v>
      </c>
      <c r="E18" s="39">
        <v>33</v>
      </c>
      <c r="F18" s="109">
        <v>0.6</v>
      </c>
      <c r="G18" s="131"/>
      <c r="H18" s="131"/>
      <c r="I18" s="131"/>
      <c r="J18" s="44"/>
      <c r="K18" s="44"/>
      <c r="L18" s="44"/>
      <c r="M18" s="44"/>
      <c r="N18" s="44"/>
      <c r="O18" s="44"/>
      <c r="P18" s="44"/>
      <c r="Q18" s="44"/>
    </row>
    <row r="19" spans="2:17">
      <c r="B19" s="32" t="str">
        <f>Texte!A136</f>
        <v>Mastkälber (50-200 kg)</v>
      </c>
      <c r="C19" s="38" t="str">
        <f>Texte!A383</f>
        <v>1 Platz</v>
      </c>
      <c r="D19" s="33">
        <f t="shared" si="0"/>
        <v>0.3</v>
      </c>
      <c r="E19" s="38">
        <v>1</v>
      </c>
      <c r="F19" s="111">
        <v>0.1</v>
      </c>
      <c r="G19" s="131"/>
      <c r="H19" s="131"/>
      <c r="I19" s="131"/>
      <c r="J19" s="44"/>
      <c r="K19" s="44"/>
      <c r="L19" s="44"/>
      <c r="M19" s="44"/>
      <c r="N19" s="44"/>
      <c r="O19" s="44"/>
      <c r="P19" s="44"/>
      <c r="Q19" s="44"/>
    </row>
    <row r="20" spans="2:17">
      <c r="B20" s="32" t="str">
        <f>Texte!A137</f>
        <v>Mutterkuhkalb, bis 160 Tage alt</v>
      </c>
      <c r="C20" s="38" t="str">
        <f>Texte!A383</f>
        <v>1 Platz</v>
      </c>
      <c r="D20" s="33">
        <f t="shared" si="0"/>
        <v>0.8</v>
      </c>
      <c r="E20" s="38">
        <v>2.8</v>
      </c>
      <c r="F20" s="109">
        <v>0.13</v>
      </c>
      <c r="G20" s="131"/>
      <c r="H20" s="131" t="s">
        <v>598</v>
      </c>
      <c r="I20" s="131"/>
      <c r="J20" s="131" t="s">
        <v>775</v>
      </c>
      <c r="K20" s="44"/>
      <c r="L20" s="44"/>
      <c r="M20" s="44"/>
      <c r="N20" s="44"/>
      <c r="O20" s="44"/>
      <c r="P20" s="44"/>
      <c r="Q20" s="44"/>
    </row>
    <row r="21" spans="2:17">
      <c r="B21" s="35" t="str">
        <f>Texte!A138</f>
        <v>Mutterkuhkalb, &gt; 160 d, leicht (&lt;200 kg SG)</v>
      </c>
      <c r="C21" s="37" t="str">
        <f>Texte!A383</f>
        <v>1 Platz</v>
      </c>
      <c r="D21" s="36">
        <f t="shared" si="0"/>
        <v>4.9000000000000004</v>
      </c>
      <c r="E21" s="39">
        <v>17.8</v>
      </c>
      <c r="F21" s="109">
        <v>0.33</v>
      </c>
      <c r="G21" s="131"/>
      <c r="H21" s="131" t="s">
        <v>598</v>
      </c>
      <c r="I21" s="131"/>
      <c r="J21" s="131" t="s">
        <v>775</v>
      </c>
      <c r="K21" s="44"/>
      <c r="L21" s="44"/>
      <c r="M21" s="44"/>
      <c r="N21" s="44"/>
      <c r="O21" s="44"/>
      <c r="P21" s="44"/>
      <c r="Q21" s="44"/>
    </row>
    <row r="22" spans="2:17">
      <c r="B22" s="32" t="str">
        <f>Texte!A139</f>
        <v>Mutterkuhkalb, &gt; 160 d, mittel (200-250 kg SG)</v>
      </c>
      <c r="C22" s="38" t="str">
        <f>Texte!A383</f>
        <v>1 Platz</v>
      </c>
      <c r="D22" s="567">
        <f t="shared" si="0"/>
        <v>5.2</v>
      </c>
      <c r="E22" s="38">
        <v>18.8</v>
      </c>
      <c r="F22" s="111">
        <v>0.33</v>
      </c>
      <c r="G22" s="370"/>
      <c r="H22" s="132" t="s">
        <v>79</v>
      </c>
      <c r="I22" s="131"/>
      <c r="J22" s="370" t="s">
        <v>78</v>
      </c>
      <c r="K22" s="44"/>
      <c r="L22" s="44"/>
      <c r="M22" s="44"/>
      <c r="N22" s="44"/>
      <c r="O22" s="44"/>
      <c r="P22" s="44"/>
      <c r="Q22" s="44"/>
    </row>
    <row r="23" spans="2:17">
      <c r="B23" s="32" t="str">
        <f>Texte!A140</f>
        <v>Mutterkuhkalb, &gt; 160 d, schwer (&gt;250 kg SG)</v>
      </c>
      <c r="C23" s="38" t="str">
        <f>Texte!A383</f>
        <v>1 Platz</v>
      </c>
      <c r="D23" s="567">
        <f t="shared" si="0"/>
        <v>5.4</v>
      </c>
      <c r="E23" s="38">
        <v>19.7</v>
      </c>
      <c r="F23" s="109">
        <v>0.33</v>
      </c>
      <c r="G23" s="131"/>
      <c r="H23" s="131">
        <v>0.1</v>
      </c>
      <c r="I23" s="131"/>
      <c r="J23" s="131">
        <v>0.13</v>
      </c>
      <c r="K23" s="44"/>
      <c r="L23" s="44"/>
      <c r="M23" s="44"/>
      <c r="N23" s="44"/>
      <c r="O23" s="44"/>
      <c r="P23" s="44"/>
      <c r="Q23" s="44"/>
    </row>
    <row r="24" spans="2:17">
      <c r="B24" s="32" t="str">
        <f>Texte!A141</f>
        <v>Rindviehmast, bis 160 Tage alt</v>
      </c>
      <c r="C24" s="38" t="str">
        <f>Texte!A383</f>
        <v>1 Platz</v>
      </c>
      <c r="D24" s="567">
        <f t="shared" si="0"/>
        <v>1.4</v>
      </c>
      <c r="E24" s="38">
        <v>5.2</v>
      </c>
      <c r="F24" s="109">
        <v>0.13</v>
      </c>
      <c r="G24" s="131"/>
      <c r="H24" s="131" t="s">
        <v>600</v>
      </c>
      <c r="I24" s="131"/>
      <c r="J24" s="131" t="s">
        <v>776</v>
      </c>
      <c r="K24" s="44"/>
      <c r="L24" s="44"/>
      <c r="M24" s="44"/>
      <c r="N24" s="44"/>
      <c r="O24" s="44"/>
      <c r="P24" s="44"/>
      <c r="Q24" s="44"/>
    </row>
    <row r="25" spans="2:17">
      <c r="B25" s="32" t="str">
        <f>Texte!A142</f>
        <v>Rindviehmast, &gt; 160 Tage alt</v>
      </c>
      <c r="C25" s="38" t="str">
        <f>Texte!A383</f>
        <v>1 Platz</v>
      </c>
      <c r="D25" s="567">
        <f t="shared" si="0"/>
        <v>5.8</v>
      </c>
      <c r="E25" s="38">
        <v>21</v>
      </c>
      <c r="F25" s="109">
        <v>0.33841201716738201</v>
      </c>
      <c r="G25" s="621" t="s">
        <v>1315</v>
      </c>
      <c r="H25" s="131" t="s">
        <v>599</v>
      </c>
      <c r="I25" s="131"/>
      <c r="J25" s="131" t="s">
        <v>777</v>
      </c>
      <c r="K25" s="44"/>
      <c r="L25" s="44"/>
      <c r="M25" s="44"/>
      <c r="N25" s="44"/>
      <c r="O25" s="44"/>
      <c r="P25" s="44"/>
      <c r="Q25" s="44"/>
    </row>
    <row r="26" spans="2:17">
      <c r="B26" s="32" t="str">
        <f>Texte!A143</f>
        <v>Rindviehmast Weidemast &gt; 4 Monate</v>
      </c>
      <c r="C26" s="38" t="str">
        <f>Texte!A383</f>
        <v>1 Platz</v>
      </c>
      <c r="D26" s="567">
        <f t="shared" si="0"/>
        <v>6.6</v>
      </c>
      <c r="E26" s="573">
        <v>24</v>
      </c>
      <c r="F26" s="571">
        <v>0.23383561643835615</v>
      </c>
      <c r="G26" s="131" t="s">
        <v>80</v>
      </c>
      <c r="H26" s="131" t="s">
        <v>81</v>
      </c>
      <c r="I26" s="131"/>
      <c r="J26" s="131" t="s">
        <v>80</v>
      </c>
      <c r="K26" s="44"/>
      <c r="L26" s="44"/>
      <c r="M26" s="44"/>
      <c r="N26" s="44"/>
      <c r="O26" s="44"/>
      <c r="P26" s="44"/>
      <c r="Q26" s="44"/>
    </row>
    <row r="27" spans="2:17">
      <c r="B27" s="35" t="str">
        <f>Texte!A144</f>
        <v>Zuchtstier</v>
      </c>
      <c r="C27" s="37" t="str">
        <f>Texte!A382</f>
        <v>1 Stück</v>
      </c>
      <c r="D27" s="36">
        <f t="shared" si="0"/>
        <v>8.1999999999999993</v>
      </c>
      <c r="E27" s="39">
        <v>30</v>
      </c>
      <c r="F27" s="109">
        <v>0.6</v>
      </c>
      <c r="G27" s="131"/>
      <c r="H27" s="131"/>
      <c r="I27" s="131"/>
      <c r="J27" s="44"/>
      <c r="K27" s="44"/>
      <c r="L27" s="44"/>
      <c r="M27" s="44"/>
      <c r="N27" s="44"/>
      <c r="O27" s="44"/>
      <c r="P27" s="44"/>
      <c r="Q27" s="44"/>
    </row>
    <row r="28" spans="2:17">
      <c r="B28" s="32" t="str">
        <f>Texte!A147</f>
        <v>Pferde bis 180 d, &gt; 148 cm*</v>
      </c>
      <c r="C28" s="38" t="str">
        <f>Texte!A382</f>
        <v>1 Stück</v>
      </c>
      <c r="D28" s="567">
        <f t="shared" si="0"/>
        <v>1.4</v>
      </c>
      <c r="E28" s="573">
        <v>5</v>
      </c>
      <c r="F28" s="111">
        <v>0.3</v>
      </c>
      <c r="G28" s="131"/>
      <c r="H28" s="131"/>
      <c r="I28" s="131"/>
      <c r="J28" s="44"/>
      <c r="K28" s="44"/>
      <c r="L28" s="44"/>
      <c r="M28" s="44"/>
      <c r="N28" s="44"/>
      <c r="O28" s="44"/>
      <c r="P28" s="44"/>
      <c r="Q28" s="44"/>
    </row>
    <row r="29" spans="2:17">
      <c r="B29" s="32" t="str">
        <f>Texte!A148</f>
        <v>Pferde &gt; 180 d, &gt; 148 cm*</v>
      </c>
      <c r="C29" s="38" t="str">
        <f>Texte!A382</f>
        <v>1 Stück</v>
      </c>
      <c r="D29" s="567">
        <f t="shared" si="0"/>
        <v>7.7</v>
      </c>
      <c r="E29" s="573">
        <v>28</v>
      </c>
      <c r="F29" s="109">
        <v>0.67</v>
      </c>
      <c r="G29" s="131"/>
      <c r="H29" s="131"/>
      <c r="I29" s="131"/>
    </row>
    <row r="30" spans="2:17">
      <c r="B30" s="32" t="str">
        <f>Texte!A149</f>
        <v>Maultiere, Maulesel bis 180 d, unabh. Widerristhöhe</v>
      </c>
      <c r="C30" s="38" t="str">
        <f>Texte!A382</f>
        <v>1 Stück</v>
      </c>
      <c r="D30" s="567">
        <f t="shared" si="0"/>
        <v>0.8</v>
      </c>
      <c r="E30" s="573">
        <v>3</v>
      </c>
      <c r="F30" s="109">
        <v>0.3</v>
      </c>
    </row>
    <row r="31" spans="2:17">
      <c r="B31" s="32" t="str">
        <f>Texte!A150</f>
        <v>Maultiere, Maulesel &gt; 180 d, unabh. Widerristhöhe</v>
      </c>
      <c r="C31" s="38" t="str">
        <f>Texte!A383</f>
        <v>1 Platz</v>
      </c>
      <c r="D31" s="567">
        <f t="shared" si="0"/>
        <v>4.7</v>
      </c>
      <c r="E31" s="573">
        <v>17</v>
      </c>
      <c r="F31" s="109">
        <v>0.67</v>
      </c>
    </row>
    <row r="32" spans="2:17">
      <c r="B32" s="35" t="str">
        <f>Texte!A151</f>
        <v>Ponys**, Kleinpferde und Esel, jeden Alters, &lt; 148 cm</v>
      </c>
      <c r="C32" s="37" t="str">
        <f>Texte!A383</f>
        <v>1 Platz</v>
      </c>
      <c r="D32" s="36">
        <f t="shared" si="0"/>
        <v>2.8</v>
      </c>
      <c r="E32" s="39">
        <v>10.4</v>
      </c>
      <c r="F32" s="109">
        <v>0.25</v>
      </c>
    </row>
    <row r="33" spans="2:6">
      <c r="B33" s="32" t="str">
        <f>Texte!A152</f>
        <v xml:space="preserve">Milchschaf </v>
      </c>
      <c r="C33" s="38" t="str">
        <f>Texte!A383</f>
        <v>1 Platz</v>
      </c>
      <c r="D33" s="33">
        <f t="shared" si="0"/>
        <v>2.5</v>
      </c>
      <c r="E33" s="38">
        <v>9.3000000000000007</v>
      </c>
      <c r="F33" s="111">
        <v>0.25</v>
      </c>
    </row>
    <row r="34" spans="2:6">
      <c r="B34" s="32" t="str">
        <f>Texte!A153</f>
        <v>Andere Schafe über 365 d</v>
      </c>
      <c r="C34" s="38" t="str">
        <f>Texte!A383</f>
        <v>1 Platz</v>
      </c>
      <c r="D34" s="33">
        <f t="shared" si="0"/>
        <v>1.8</v>
      </c>
      <c r="E34" s="38">
        <v>6.5</v>
      </c>
      <c r="F34" s="109">
        <v>0.17</v>
      </c>
    </row>
    <row r="35" spans="2:6">
      <c r="B35" s="32" t="str">
        <f>Texte!A154</f>
        <v>Jungschafe über 180 bis 365 d</v>
      </c>
      <c r="C35" s="38" t="str">
        <f>Texte!A383</f>
        <v>1 Platz</v>
      </c>
      <c r="D35" s="33">
        <f t="shared" si="0"/>
        <v>1.3</v>
      </c>
      <c r="E35" s="38">
        <v>4.9000000000000004</v>
      </c>
      <c r="F35" s="109">
        <v>0.06</v>
      </c>
    </row>
    <row r="36" spans="2:6">
      <c r="B36" s="32" t="str">
        <f>Texte!A155</f>
        <v>Lamm bis 180 d</v>
      </c>
      <c r="C36" s="38" t="str">
        <f>Texte!A383</f>
        <v>1 Platz</v>
      </c>
      <c r="D36" s="33">
        <f t="shared" si="0"/>
        <v>0.4</v>
      </c>
      <c r="E36" s="38">
        <v>1.4</v>
      </c>
      <c r="F36" s="109">
        <v>0.03</v>
      </c>
    </row>
    <row r="37" spans="2:6">
      <c r="B37" s="32" t="str">
        <f>Texte!A156</f>
        <v>Milchziege</v>
      </c>
      <c r="C37" s="38" t="str">
        <f>Texte!A383</f>
        <v>1 Platz</v>
      </c>
      <c r="D37" s="33">
        <f t="shared" si="0"/>
        <v>1.7</v>
      </c>
      <c r="E37" s="38">
        <v>6.2</v>
      </c>
      <c r="F37" s="109">
        <v>0.2</v>
      </c>
    </row>
    <row r="38" spans="2:6">
      <c r="B38" s="32" t="str">
        <f>Texte!A157</f>
        <v>Andere Ziegen über 365 d</v>
      </c>
      <c r="C38" s="38" t="str">
        <f>Texte!A383</f>
        <v>1 Platz</v>
      </c>
      <c r="D38" s="33">
        <f t="shared" si="0"/>
        <v>1.6</v>
      </c>
      <c r="E38" s="38">
        <v>5.7</v>
      </c>
      <c r="F38" s="109">
        <v>0.17</v>
      </c>
    </row>
    <row r="39" spans="2:6">
      <c r="B39" s="32" t="str">
        <f>Texte!A158</f>
        <v>Jungziegen über 180 bis 365 d</v>
      </c>
      <c r="C39" s="38" t="str">
        <f>Texte!A383</f>
        <v>1 Platz</v>
      </c>
      <c r="D39" s="33">
        <f t="shared" si="0"/>
        <v>1</v>
      </c>
      <c r="E39" s="38">
        <v>3.5</v>
      </c>
      <c r="F39" s="109">
        <v>0.06</v>
      </c>
    </row>
    <row r="40" spans="2:6">
      <c r="B40" s="32" t="str">
        <f>Texte!A159</f>
        <v>Zicklein bis 180 d (Milchziegenherde)</v>
      </c>
      <c r="C40" s="38" t="str">
        <f>Texte!A383</f>
        <v>1 Platz</v>
      </c>
      <c r="D40" s="33">
        <f t="shared" si="0"/>
        <v>0.2</v>
      </c>
      <c r="E40" s="38">
        <v>0.7</v>
      </c>
      <c r="F40" s="109">
        <v>0.03</v>
      </c>
    </row>
    <row r="41" spans="2:6">
      <c r="B41" s="35" t="str">
        <f>Texte!A160</f>
        <v>Zicklein bis 180 d (Mutterziegenherde)</v>
      </c>
      <c r="C41" s="37" t="str">
        <f>Texte!A383</f>
        <v>1 Platz</v>
      </c>
      <c r="D41" s="36">
        <f t="shared" si="0"/>
        <v>0.5</v>
      </c>
      <c r="E41" s="39">
        <v>1.7</v>
      </c>
      <c r="F41" s="109">
        <v>0.03</v>
      </c>
    </row>
    <row r="42" spans="2:6">
      <c r="B42" s="32" t="str">
        <f>Texte!A161</f>
        <v>Damhirsche inkl. Jungtiere, 1 Einheit=2 Tiere</v>
      </c>
      <c r="C42" s="38" t="str">
        <f>Texte!A380</f>
        <v>Einheit</v>
      </c>
      <c r="D42" s="33">
        <f t="shared" si="0"/>
        <v>2.7</v>
      </c>
      <c r="E42" s="38">
        <v>10</v>
      </c>
      <c r="F42" s="111">
        <f>2*0.1</f>
        <v>0.2</v>
      </c>
    </row>
    <row r="43" spans="2:6">
      <c r="B43" s="32" t="str">
        <f>Texte!A162</f>
        <v>Rothirsche inkl. Jungtiere, 1 Einheit=2 Tiere</v>
      </c>
      <c r="C43" s="38" t="str">
        <f>Texte!A380</f>
        <v>Einheit</v>
      </c>
      <c r="D43" s="33">
        <f t="shared" si="0"/>
        <v>5.5</v>
      </c>
      <c r="E43" s="38">
        <v>20</v>
      </c>
      <c r="F43" s="109">
        <f>2*0.2</f>
        <v>0.4</v>
      </c>
    </row>
    <row r="44" spans="2:6">
      <c r="B44" s="32" t="str">
        <f>Texte!A163</f>
        <v>Wapiti inkl. Jungtiere, 1 Einheit=2 Tiere</v>
      </c>
      <c r="C44" s="38" t="str">
        <f>Texte!A380</f>
        <v>Einheit</v>
      </c>
      <c r="D44" s="33">
        <f t="shared" si="0"/>
        <v>11</v>
      </c>
      <c r="E44" s="38">
        <v>40</v>
      </c>
      <c r="F44" s="109">
        <f>2*0.2</f>
        <v>0.4</v>
      </c>
    </row>
    <row r="45" spans="2:6">
      <c r="B45" s="32" t="str">
        <f>Texte!A164</f>
        <v>Bisons über 900 d</v>
      </c>
      <c r="C45" s="38" t="str">
        <f>Texte!A382</f>
        <v>1 Stück</v>
      </c>
      <c r="D45" s="33">
        <f t="shared" si="0"/>
        <v>10.7</v>
      </c>
      <c r="E45" s="38">
        <v>39</v>
      </c>
      <c r="F45" s="109">
        <v>0.8</v>
      </c>
    </row>
    <row r="46" spans="2:6">
      <c r="B46" s="35" t="str">
        <f>Texte!A165</f>
        <v>Bisons bis 900 d</v>
      </c>
      <c r="C46" s="37" t="str">
        <f>Texte!A382</f>
        <v>1 Stück</v>
      </c>
      <c r="D46" s="36">
        <f t="shared" si="0"/>
        <v>4.9000000000000004</v>
      </c>
      <c r="E46" s="39">
        <v>18</v>
      </c>
      <c r="F46" s="109">
        <v>0.4</v>
      </c>
    </row>
    <row r="47" spans="2:6">
      <c r="B47" s="32" t="str">
        <f>Texte!A166</f>
        <v>Lamas über 2-jährig</v>
      </c>
      <c r="C47" s="38" t="str">
        <f>Texte!A382</f>
        <v>1 Stück</v>
      </c>
      <c r="D47" s="33">
        <f t="shared" si="0"/>
        <v>2.2999999999999998</v>
      </c>
      <c r="E47" s="38">
        <v>8.5</v>
      </c>
      <c r="F47" s="111">
        <v>0.17</v>
      </c>
    </row>
    <row r="48" spans="2:6">
      <c r="B48" s="32" t="str">
        <f>Texte!A167</f>
        <v>Lamas unter 2-jährig</v>
      </c>
      <c r="C48" s="38" t="str">
        <f>Texte!A382</f>
        <v>1 Stück</v>
      </c>
      <c r="D48" s="33">
        <f t="shared" si="0"/>
        <v>1.3</v>
      </c>
      <c r="E48" s="38">
        <v>4.9000000000000004</v>
      </c>
      <c r="F48" s="109">
        <v>0.11</v>
      </c>
    </row>
    <row r="49" spans="2:6">
      <c r="B49" s="32" t="str">
        <f>Texte!A168</f>
        <v>Alpakas über 2-jährig</v>
      </c>
      <c r="C49" s="38" t="str">
        <f>Texte!A382</f>
        <v>1 Stück</v>
      </c>
      <c r="D49" s="33">
        <f t="shared" si="0"/>
        <v>1.5</v>
      </c>
      <c r="E49" s="38">
        <v>5.5</v>
      </c>
      <c r="F49" s="109">
        <v>0.11</v>
      </c>
    </row>
    <row r="50" spans="2:6">
      <c r="B50" s="35" t="str">
        <f>Texte!A169</f>
        <v>Alpakas unter 2-jährig</v>
      </c>
      <c r="C50" s="37" t="str">
        <f>Texte!A382</f>
        <v>1 Stück</v>
      </c>
      <c r="D50" s="36">
        <f t="shared" si="0"/>
        <v>0.8</v>
      </c>
      <c r="E50" s="39">
        <v>3</v>
      </c>
      <c r="F50" s="109">
        <v>7.0000000000000007E-2</v>
      </c>
    </row>
    <row r="51" spans="2:6">
      <c r="B51" s="32" t="str">
        <f>Texte!A173</f>
        <v>Kaninchen, Zibben inkl. Jungtiere bis 35 d</v>
      </c>
      <c r="C51" s="43" t="str">
        <f>Texte!A382</f>
        <v>1 Stück</v>
      </c>
      <c r="D51" s="33">
        <f t="shared" si="0"/>
        <v>0.1</v>
      </c>
      <c r="E51" s="43">
        <v>0.36</v>
      </c>
      <c r="F51" s="111">
        <v>3.4000000000000002E-2</v>
      </c>
    </row>
    <row r="52" spans="2:6">
      <c r="B52" s="32" t="str">
        <f>Texte!A174</f>
        <v>Kaninchen, Jungtiere ab ca 35 Tagen</v>
      </c>
      <c r="C52" s="40" t="str">
        <f>Texte!A381</f>
        <v>100 Pl.</v>
      </c>
      <c r="D52" s="33">
        <f t="shared" si="0"/>
        <v>1.1000000000000001</v>
      </c>
      <c r="E52" s="40">
        <v>4</v>
      </c>
      <c r="F52" s="109">
        <v>1.1000000000000001</v>
      </c>
    </row>
    <row r="53" spans="2:6">
      <c r="B53" s="32" t="str">
        <f>Texte!A175</f>
        <v>Strausse &gt; 13 Monate</v>
      </c>
      <c r="C53" s="40" t="str">
        <f>Texte!A382</f>
        <v>1 Stück</v>
      </c>
      <c r="D53" s="33">
        <f t="shared" si="0"/>
        <v>3</v>
      </c>
      <c r="E53" s="40">
        <v>11</v>
      </c>
      <c r="F53" s="109">
        <v>0.26</v>
      </c>
    </row>
    <row r="54" spans="2:6">
      <c r="B54" s="35" t="str">
        <f>Texte!A176</f>
        <v>Strausse bis 13 Monate</v>
      </c>
      <c r="C54" s="41" t="str">
        <f>Texte!A382</f>
        <v>1 Stück</v>
      </c>
      <c r="D54" s="36">
        <f t="shared" si="0"/>
        <v>0.5</v>
      </c>
      <c r="E54" s="41">
        <v>2</v>
      </c>
      <c r="F54" s="109">
        <v>0.14000000000000001</v>
      </c>
    </row>
    <row r="55" spans="2:6">
      <c r="B55" s="32" t="str">
        <f>Texte!A177</f>
        <v>Mastschweineplatz / Remonten (26-108 kg)</v>
      </c>
      <c r="C55" s="38" t="str">
        <f>Texte!A383</f>
        <v>1 Platz</v>
      </c>
      <c r="D55" s="33">
        <f t="shared" si="0"/>
        <v>0</v>
      </c>
      <c r="E55" s="40">
        <v>0</v>
      </c>
      <c r="F55" s="111">
        <v>0.17</v>
      </c>
    </row>
    <row r="56" spans="2:6">
      <c r="B56" s="35" t="str">
        <f>Texte!A178</f>
        <v>Mastschweine / Remonten (26-108 kg)</v>
      </c>
      <c r="C56" s="37" t="str">
        <f>Texte!A382</f>
        <v>1 Stück</v>
      </c>
      <c r="D56" s="36"/>
      <c r="E56" s="41"/>
      <c r="F56" s="109"/>
    </row>
    <row r="57" spans="2:6">
      <c r="B57" s="32" t="str">
        <f>Texte!A179</f>
        <v>Zuchtschweine inkl. Ferkel bis 26 kg</v>
      </c>
      <c r="C57" s="38" t="str">
        <f>Texte!A383</f>
        <v>1 Platz</v>
      </c>
      <c r="D57" s="33"/>
      <c r="E57" s="40">
        <v>0.5</v>
      </c>
      <c r="F57" s="111"/>
    </row>
    <row r="58" spans="2:6">
      <c r="B58" s="32" t="str">
        <f>Texte!A180</f>
        <v>Galtsauenplatz, 2.94 Umtriebe</v>
      </c>
      <c r="C58" s="38" t="str">
        <f>Texte!A383</f>
        <v>1 Platz</v>
      </c>
      <c r="D58" s="33"/>
      <c r="E58" s="40">
        <v>0.5</v>
      </c>
      <c r="F58" s="109">
        <v>0.26</v>
      </c>
    </row>
    <row r="59" spans="2:6">
      <c r="B59" s="32" t="str">
        <f>Texte!A181</f>
        <v>Galtsauen, pro Umtrieb</v>
      </c>
      <c r="C59" s="38" t="str">
        <f>Texte!A382</f>
        <v>1 Stück</v>
      </c>
      <c r="D59" s="33"/>
      <c r="E59" s="40">
        <v>0.5</v>
      </c>
      <c r="F59" s="109"/>
    </row>
    <row r="60" spans="2:6">
      <c r="B60" s="32" t="str">
        <f>Texte!A182</f>
        <v>Zuchtschweine, säugend, 9.86 Umtriebe</v>
      </c>
      <c r="C60" s="38" t="str">
        <f>Texte!A383</f>
        <v>1 Platz</v>
      </c>
      <c r="D60" s="33"/>
      <c r="E60" s="40">
        <v>0.5</v>
      </c>
      <c r="F60" s="109">
        <v>0.55000000000000004</v>
      </c>
    </row>
    <row r="61" spans="2:6">
      <c r="B61" s="35" t="str">
        <f>Texte!A183</f>
        <v>Zuchtschweine, säugend, pro Umtrieb</v>
      </c>
      <c r="C61" s="37" t="str">
        <f>Texte!A382</f>
        <v>1 Stück</v>
      </c>
      <c r="D61" s="36" t="s">
        <v>728</v>
      </c>
      <c r="E61" s="40">
        <v>0.5</v>
      </c>
      <c r="F61" s="109"/>
    </row>
    <row r="62" spans="2:6">
      <c r="B62" s="35" t="str">
        <f>Texte!A184</f>
        <v>Zuchteber</v>
      </c>
      <c r="C62" s="42" t="str">
        <f>Texte!A382</f>
        <v>1 Stück</v>
      </c>
      <c r="D62" s="36"/>
      <c r="E62" s="42">
        <v>0.5</v>
      </c>
      <c r="F62" s="111">
        <v>0.25</v>
      </c>
    </row>
    <row r="63" spans="2:6">
      <c r="B63" s="46" t="str">
        <f>Texte!A185</f>
        <v>Ferkel abgesetzt, 8-26 kg, 9.61 Umtriebe</v>
      </c>
      <c r="C63" s="40" t="str">
        <f>Texte!A383</f>
        <v>1 Platz</v>
      </c>
      <c r="D63" s="33"/>
      <c r="E63" s="40"/>
      <c r="F63" s="111">
        <v>0.06</v>
      </c>
    </row>
    <row r="64" spans="2:6">
      <c r="B64" s="112" t="str">
        <f>Texte!A186</f>
        <v>Ferkel abgesetzt, 8-26 kg</v>
      </c>
      <c r="C64" s="113" t="str">
        <f>Texte!A382</f>
        <v>1 Stück</v>
      </c>
      <c r="D64" s="114"/>
      <c r="E64" s="113"/>
      <c r="F64" s="110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5EDC-9F98-4A89-946C-CB21580EB539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RowHeight="12.75"/>
  <cols>
    <col min="1" max="1" width="1.7109375" style="367" customWidth="1"/>
    <col min="2" max="2" width="18.28515625" style="367" customWidth="1"/>
    <col min="3" max="3" width="7.5703125" style="367" customWidth="1"/>
    <col min="4" max="4" width="5.5703125" style="367" customWidth="1"/>
    <col min="5" max="5" width="3.5703125" style="367" customWidth="1"/>
    <col min="6" max="6" width="6.85546875" style="367" customWidth="1"/>
    <col min="7" max="7" width="4" style="367" customWidth="1"/>
    <col min="8" max="8" width="11.7109375" style="367" customWidth="1"/>
    <col min="9" max="9" width="9.85546875" style="367" customWidth="1"/>
    <col min="10" max="10" width="7.7109375" style="367" customWidth="1"/>
    <col min="11" max="11" width="18.5703125" style="367" customWidth="1"/>
    <col min="12" max="12" width="4.7109375" style="367" customWidth="1"/>
    <col min="13" max="13" width="6.7109375" style="450" customWidth="1"/>
    <col min="14" max="16384" width="11.42578125" style="450"/>
  </cols>
  <sheetData>
    <row r="1" spans="1:14" s="367" customFormat="1" ht="9" customHeight="1"/>
    <row r="2" spans="1:14" s="367" customFormat="1" ht="21" customHeight="1">
      <c r="A2" s="440"/>
      <c r="D2" s="441" t="str">
        <f>Texte!A416</f>
        <v>Anpassung des eigenen Produktionssytems</v>
      </c>
    </row>
    <row r="3" spans="1:14" s="367" customFormat="1" ht="21" customHeight="1">
      <c r="D3" s="441" t="str">
        <f>Texte!A417</f>
        <v>im Hinblick auf GMF</v>
      </c>
    </row>
    <row r="4" spans="1:14" s="367" customFormat="1" ht="7.5" customHeight="1" thickBot="1">
      <c r="B4" s="442"/>
      <c r="C4" s="442"/>
      <c r="D4" s="443"/>
      <c r="E4" s="442"/>
      <c r="F4" s="444"/>
      <c r="G4" s="444"/>
      <c r="H4" s="444"/>
      <c r="I4" s="445"/>
      <c r="J4" s="443"/>
      <c r="K4" s="443"/>
      <c r="L4" s="443"/>
      <c r="M4" s="443"/>
    </row>
    <row r="5" spans="1:14" s="367" customFormat="1" ht="3.95" customHeight="1">
      <c r="B5" s="441"/>
      <c r="C5" s="441"/>
      <c r="E5" s="441"/>
      <c r="F5" s="446"/>
      <c r="G5" s="446"/>
      <c r="H5" s="446"/>
      <c r="I5" s="447"/>
    </row>
    <row r="6" spans="1:14">
      <c r="B6" s="448" t="str">
        <f>Texte!A418</f>
        <v>Achtung: Die Berechnung basiert auf den Angaben des Bilanzblattes</v>
      </c>
      <c r="D6" s="449"/>
      <c r="M6" s="367"/>
      <c r="N6" s="367"/>
    </row>
    <row r="7" spans="1:14">
      <c r="B7" s="450"/>
      <c r="C7" s="450"/>
      <c r="D7" s="450"/>
      <c r="E7" s="450"/>
      <c r="F7" s="450"/>
      <c r="G7" s="450"/>
      <c r="H7" s="450"/>
      <c r="I7" s="450"/>
      <c r="J7" s="450"/>
      <c r="K7" s="450"/>
      <c r="M7" s="367"/>
      <c r="N7" s="367"/>
    </row>
    <row r="8" spans="1:14" ht="15.75">
      <c r="A8" s="121"/>
      <c r="B8" s="451" t="str">
        <f>Texte!A419</f>
        <v>Erklärungen</v>
      </c>
      <c r="C8" s="450"/>
      <c r="D8" s="450"/>
      <c r="E8" s="450"/>
      <c r="F8" s="450"/>
      <c r="G8" s="450"/>
      <c r="H8" s="450"/>
      <c r="I8" s="450"/>
      <c r="J8" s="450"/>
      <c r="K8" s="450"/>
      <c r="M8" s="367"/>
      <c r="N8" s="367"/>
    </row>
    <row r="9" spans="1:14">
      <c r="B9" s="448" t="str">
        <f>Texte!A420</f>
        <v>Falls die Bedingung der Kraftfutterrestriktion nicht erfüllt ist, stellt sich die Frage einer Verringerung des Kraftfuttereinsatzes</v>
      </c>
      <c r="C9" s="450"/>
      <c r="D9" s="450"/>
      <c r="E9" s="450"/>
      <c r="F9" s="450"/>
      <c r="G9" s="450"/>
      <c r="H9" s="450"/>
      <c r="I9" s="450"/>
      <c r="J9" s="450"/>
      <c r="K9" s="450"/>
      <c r="M9" s="367"/>
      <c r="N9" s="367"/>
    </row>
    <row r="10" spans="1:14">
      <c r="A10" s="121"/>
      <c r="B10" s="367" t="str">
        <f>Texte!A421</f>
        <v>Dieses Blatt zeigt die finanziellen Auswirkungen bei einer eventuellen Anpassung des Produktionssystems</v>
      </c>
      <c r="C10" s="450"/>
      <c r="D10" s="450"/>
      <c r="E10" s="450"/>
      <c r="F10" s="450"/>
      <c r="G10" s="450"/>
      <c r="H10" s="450"/>
      <c r="I10" s="450"/>
      <c r="J10" s="450"/>
      <c r="K10" s="450"/>
    </row>
    <row r="11" spans="1:14">
      <c r="A11" s="121"/>
      <c r="B11" s="450"/>
      <c r="C11" s="450"/>
      <c r="D11" s="450"/>
      <c r="E11" s="450"/>
      <c r="F11" s="450"/>
      <c r="G11" s="450"/>
      <c r="H11" s="450"/>
      <c r="I11" s="450"/>
      <c r="J11" s="450"/>
      <c r="K11" s="450"/>
    </row>
    <row r="12" spans="1:14">
      <c r="A12" s="121"/>
      <c r="B12" s="448" t="str">
        <f>Texte!A422</f>
        <v>Prüfen Sie auf dem Bilanz-Blatt, ob ihre Anpassung (Teil A) die Erfüllung der Bedingungen</v>
      </c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4">
      <c r="A13" s="121"/>
      <c r="B13" s="448" t="str">
        <f>Texte!A423</f>
        <v>von maximal 10% Kraftfutter (Teil D) bewirkt.</v>
      </c>
      <c r="C13" s="450"/>
      <c r="D13" s="450"/>
      <c r="E13" s="450"/>
      <c r="F13" s="450"/>
      <c r="G13" s="450"/>
      <c r="H13" s="450"/>
      <c r="I13" s="450"/>
      <c r="J13" s="450"/>
      <c r="K13" s="450"/>
    </row>
    <row r="15" spans="1:14" ht="3.95" customHeight="1"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</row>
    <row r="16" spans="1:14" ht="15.75">
      <c r="B16" s="451" t="str">
        <f>Texte!A424</f>
        <v>Milchproduktion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</row>
    <row r="17" spans="1:12" ht="15.75">
      <c r="B17" s="451"/>
      <c r="C17" s="450"/>
      <c r="D17" s="450"/>
      <c r="E17" s="450"/>
      <c r="F17" s="450"/>
      <c r="G17" s="450"/>
      <c r="H17" s="450"/>
      <c r="I17" s="450"/>
      <c r="J17" s="450"/>
      <c r="K17" s="450"/>
      <c r="L17" s="450"/>
    </row>
    <row r="18" spans="1:12">
      <c r="B18" s="367" t="str">
        <f>Texte!A425</f>
        <v>Mittlerer Herdendurchschnitt</v>
      </c>
      <c r="C18" s="450"/>
      <c r="D18" s="450"/>
      <c r="E18" s="450"/>
      <c r="F18" s="450"/>
      <c r="G18" s="452" t="s">
        <v>283</v>
      </c>
      <c r="H18" s="453" t="str">
        <f>IF('Bilanz-bilan'!E41&lt;&gt;0,'Bilanz-bilan'!E41,"")</f>
        <v/>
      </c>
      <c r="I18" s="448" t="str">
        <f>Texte!A436</f>
        <v>kg Milch/Kuh</v>
      </c>
      <c r="J18" s="450"/>
      <c r="K18" s="448"/>
      <c r="L18" s="450"/>
    </row>
    <row r="19" spans="1:12">
      <c r="B19" s="448"/>
      <c r="C19" s="450"/>
      <c r="D19" s="450"/>
      <c r="E19" s="450"/>
      <c r="F19" s="450"/>
      <c r="G19" s="450"/>
      <c r="H19" s="450"/>
      <c r="I19" s="450"/>
      <c r="J19" s="450"/>
      <c r="K19" s="450"/>
      <c r="L19" s="450"/>
    </row>
    <row r="20" spans="1:12">
      <c r="A20" s="450"/>
      <c r="B20" s="367" t="str">
        <f>Texte!A426</f>
        <v>Angestrebte Milchleistung nach Anpassung</v>
      </c>
      <c r="C20" s="450"/>
      <c r="D20" s="450"/>
      <c r="E20" s="450"/>
      <c r="F20" s="450"/>
      <c r="G20" s="452" t="s">
        <v>283</v>
      </c>
      <c r="H20" s="454"/>
      <c r="I20" s="448" t="str">
        <f>Texte!A436</f>
        <v>kg Milch/Kuh</v>
      </c>
      <c r="J20" s="450"/>
      <c r="K20" s="448"/>
      <c r="L20" s="450"/>
    </row>
    <row r="21" spans="1:12">
      <c r="A21" s="450"/>
      <c r="B21" s="450"/>
      <c r="D21" s="449"/>
    </row>
    <row r="22" spans="1:12">
      <c r="A22" s="450"/>
      <c r="B22" s="367" t="str">
        <f>Texte!A427</f>
        <v>Anzahl Kühe</v>
      </c>
      <c r="D22" s="449"/>
      <c r="H22" s="455" t="str">
        <f>IF('Bilanz-bilan'!E41&lt;&gt;0,'Bilanz-bilan'!G41,"")</f>
        <v/>
      </c>
      <c r="I22" s="367" t="str">
        <f>Texte!A437</f>
        <v>Kühe</v>
      </c>
      <c r="K22" s="448"/>
    </row>
    <row r="23" spans="1:12" ht="3.95" customHeight="1">
      <c r="A23" s="450"/>
      <c r="B23" s="450"/>
      <c r="C23" s="450"/>
      <c r="D23" s="450"/>
      <c r="E23" s="450"/>
      <c r="F23" s="450"/>
      <c r="G23" s="450"/>
    </row>
    <row r="24" spans="1:12" ht="15.75">
      <c r="A24" s="450"/>
      <c r="B24" s="451" t="str">
        <f>Texte!A428</f>
        <v>Auswirkungen auf die Mengen</v>
      </c>
      <c r="D24" s="449"/>
      <c r="E24" s="450"/>
      <c r="F24" s="450"/>
      <c r="G24" s="450"/>
      <c r="H24" s="450"/>
    </row>
    <row r="25" spans="1:12" ht="15.75">
      <c r="A25" s="450"/>
      <c r="B25" s="451"/>
      <c r="D25" s="449"/>
      <c r="E25" s="450"/>
      <c r="F25" s="450"/>
      <c r="G25" s="450"/>
      <c r="H25" s="450"/>
    </row>
    <row r="26" spans="1:12">
      <c r="A26" s="450"/>
      <c r="B26" s="367" t="str">
        <f>Texte!A429</f>
        <v>Verringerung der Milchproduktion total</v>
      </c>
      <c r="C26" s="450"/>
      <c r="D26" s="450"/>
      <c r="E26" s="450"/>
      <c r="F26" s="450"/>
      <c r="G26" s="450"/>
      <c r="H26" s="456" t="str">
        <f>IF(H20=0,"",(H20-H18)*H22)</f>
        <v/>
      </c>
      <c r="I26" s="367" t="str">
        <f>Texte!A438</f>
        <v>kg Milch</v>
      </c>
    </row>
    <row r="27" spans="1:12">
      <c r="A27" s="450"/>
      <c r="B27" s="450"/>
      <c r="C27" s="450"/>
      <c r="D27" s="450"/>
      <c r="E27" s="450"/>
      <c r="F27" s="450"/>
      <c r="G27" s="450"/>
      <c r="H27" s="457"/>
      <c r="I27" s="450"/>
      <c r="J27" s="450"/>
      <c r="K27" s="450"/>
    </row>
    <row r="28" spans="1:12">
      <c r="A28" s="450"/>
      <c r="B28" s="448" t="str">
        <f>Texte!A430</f>
        <v>Reduktion des Kraftfuttereinsatzes pro Kuh</v>
      </c>
      <c r="C28" s="450"/>
      <c r="D28" s="450"/>
      <c r="G28" s="450"/>
      <c r="H28" s="454"/>
      <c r="I28" s="448" t="str">
        <f>Texte!A439</f>
        <v>kg KF/Kuh</v>
      </c>
      <c r="J28" s="450"/>
      <c r="K28" s="448" t="str">
        <f>Texte!A444</f>
        <v>siehe Erklärung*</v>
      </c>
      <c r="L28" s="450"/>
    </row>
    <row r="29" spans="1:12" ht="3.95" customHeight="1">
      <c r="A29" s="458"/>
      <c r="B29" s="450"/>
      <c r="C29" s="450"/>
      <c r="D29" s="450"/>
      <c r="E29" s="450"/>
      <c r="F29" s="450"/>
      <c r="G29" s="450"/>
      <c r="H29" s="459"/>
      <c r="I29" s="450"/>
      <c r="J29" s="450"/>
      <c r="K29" s="450"/>
    </row>
    <row r="30" spans="1:12" ht="15.75">
      <c r="B30" s="451" t="str">
        <f>Texte!A431</f>
        <v>Auswirkungen auf die Wirtschaftlichkeit</v>
      </c>
      <c r="C30" s="450"/>
      <c r="D30" s="450"/>
      <c r="E30" s="450"/>
      <c r="F30" s="450"/>
      <c r="G30" s="450"/>
      <c r="H30" s="459"/>
      <c r="I30" s="450"/>
      <c r="J30" s="460" t="str">
        <f>Texte!A445</f>
        <v>Preis</v>
      </c>
      <c r="K30" s="450"/>
    </row>
    <row r="31" spans="1:12">
      <c r="A31" s="346"/>
      <c r="B31" s="450"/>
      <c r="C31" s="450"/>
      <c r="D31" s="450"/>
      <c r="E31" s="450"/>
      <c r="F31" s="450"/>
      <c r="G31" s="450"/>
      <c r="H31" s="459"/>
      <c r="I31" s="450"/>
      <c r="J31" s="450"/>
      <c r="K31" s="450"/>
    </row>
    <row r="32" spans="1:12">
      <c r="A32" s="346"/>
      <c r="B32" s="367" t="str">
        <f>Texte!A432</f>
        <v>Mindereinnahmen Milch</v>
      </c>
      <c r="C32" s="450"/>
      <c r="D32" s="450"/>
      <c r="E32" s="450"/>
      <c r="F32" s="450"/>
      <c r="G32" s="450"/>
      <c r="H32" s="453" t="str">
        <f>IF('Bilanz-bilan'!E41&lt;&gt;0,H26*J32/100,"")</f>
        <v/>
      </c>
      <c r="I32" s="450" t="str">
        <f>Texte!A440</f>
        <v>Fr.</v>
      </c>
      <c r="J32" s="454">
        <v>55</v>
      </c>
      <c r="K32" s="448" t="str">
        <f>Texte!A441</f>
        <v>Rp/kg</v>
      </c>
    </row>
    <row r="33" spans="1:11">
      <c r="A33" s="346"/>
      <c r="B33" s="450"/>
      <c r="C33" s="450"/>
      <c r="D33" s="450"/>
      <c r="E33" s="450"/>
      <c r="F33" s="450"/>
      <c r="G33" s="450"/>
      <c r="H33" s="461"/>
      <c r="I33" s="450"/>
      <c r="J33" s="450"/>
      <c r="K33" s="450"/>
    </row>
    <row r="34" spans="1:11">
      <c r="A34" s="346"/>
      <c r="B34" s="450" t="str">
        <f>Texte!A433</f>
        <v>Einsparung Kraftfutterkosten</v>
      </c>
      <c r="C34" s="450"/>
      <c r="D34" s="450"/>
      <c r="E34" s="450"/>
      <c r="F34" s="450"/>
      <c r="G34" s="450"/>
      <c r="H34" s="453" t="str">
        <f>IF('Bilanz-bilan'!E41&lt;&gt;0,H22*H28*J34/100,"")</f>
        <v/>
      </c>
      <c r="I34" s="450" t="str">
        <f>Texte!A440</f>
        <v>Fr.</v>
      </c>
      <c r="J34" s="454">
        <v>65</v>
      </c>
      <c r="K34" s="448" t="str">
        <f>Texte!A442</f>
        <v>Fr./dt</v>
      </c>
    </row>
    <row r="35" spans="1:11">
      <c r="A35" s="346"/>
      <c r="B35" s="450"/>
      <c r="C35" s="450"/>
      <c r="D35" s="450"/>
      <c r="E35" s="450"/>
      <c r="F35" s="450"/>
      <c r="G35" s="450"/>
      <c r="H35" s="461"/>
      <c r="I35" s="450"/>
      <c r="J35" s="450"/>
      <c r="K35" s="450"/>
    </row>
    <row r="36" spans="1:11">
      <c r="A36" s="346"/>
      <c r="B36" s="450" t="str">
        <f>Texte!A434</f>
        <v>Beiträge GMF</v>
      </c>
      <c r="C36" s="450"/>
      <c r="D36" s="450"/>
      <c r="E36" s="450"/>
      <c r="F36" s="450"/>
      <c r="G36" s="450"/>
      <c r="H36" s="453" t="str">
        <f>IF('Bilanz-bilan'!J120=0,"",J36*'Bilanz-bilan'!J120)</f>
        <v/>
      </c>
      <c r="I36" s="450" t="str">
        <f>Texte!A440</f>
        <v>Fr.</v>
      </c>
      <c r="J36" s="454">
        <v>200</v>
      </c>
      <c r="K36" s="450" t="str">
        <f>Texte!A443</f>
        <v>Fr./ha</v>
      </c>
    </row>
    <row r="37" spans="1:11" ht="3.95" customHeight="1" thickBot="1">
      <c r="A37" s="346"/>
      <c r="B37" s="450"/>
      <c r="C37" s="450"/>
      <c r="D37" s="450"/>
      <c r="E37" s="450"/>
      <c r="F37" s="450"/>
      <c r="G37" s="450"/>
      <c r="H37" s="459"/>
      <c r="I37" s="450"/>
      <c r="J37" s="450"/>
      <c r="K37" s="450"/>
    </row>
    <row r="38" spans="1:11" ht="16.5" thickBot="1">
      <c r="A38" s="346"/>
      <c r="B38" s="451" t="str">
        <f>Texte!A435</f>
        <v>Bilanz</v>
      </c>
      <c r="C38" s="450"/>
      <c r="D38" s="450"/>
      <c r="E38" s="450"/>
      <c r="F38" s="450"/>
      <c r="G38" s="450"/>
      <c r="H38" s="462" t="str">
        <f>IF('Bilanz-bilan'!E41&lt;&gt;0,SUM(H32:H36),"")</f>
        <v/>
      </c>
      <c r="I38" s="450" t="str">
        <f>Texte!A440</f>
        <v>Fr.</v>
      </c>
      <c r="J38" s="450"/>
      <c r="K38" s="450"/>
    </row>
    <row r="39" spans="1:11">
      <c r="A39" s="346"/>
      <c r="B39" s="450"/>
      <c r="C39" s="450"/>
      <c r="D39" s="450"/>
      <c r="E39" s="450"/>
      <c r="F39" s="450"/>
      <c r="G39" s="450"/>
      <c r="H39" s="459"/>
      <c r="I39" s="450"/>
      <c r="J39" s="450"/>
      <c r="K39" s="450"/>
    </row>
    <row r="40" spans="1:11">
      <c r="A40" s="121"/>
      <c r="B40" s="463"/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>
      <c r="A41" s="121"/>
      <c r="B41" s="450"/>
      <c r="C41" s="450"/>
      <c r="D41" s="450"/>
      <c r="E41" s="450"/>
      <c r="F41" s="450"/>
      <c r="G41" s="450"/>
      <c r="H41" s="450"/>
      <c r="I41" s="450"/>
      <c r="J41" s="450"/>
      <c r="K41" s="450"/>
    </row>
    <row r="43" spans="1:11">
      <c r="B43" s="346" t="str">
        <f>Texte!A446</f>
        <v>Kraftfutterreduktion</v>
      </c>
    </row>
    <row r="44" spans="1:11">
      <c r="B44" s="367" t="str">
        <f>Texte!A447</f>
        <v>Reduzierte Milchleistung dividiert durch das MPP des KF ergibt eingesparte Kraftfuttermenge</v>
      </c>
    </row>
    <row r="45" spans="1:11">
      <c r="B45" s="367" t="str">
        <f>Texte!A448</f>
        <v>Annahme Milchleistungspotential = 2 kg Milch pro kg Kraftfutter*</v>
      </c>
    </row>
    <row r="46" spans="1:11">
      <c r="B46" s="346" t="str">
        <f>Texte!A449</f>
        <v>Beispiel:</v>
      </c>
    </row>
    <row r="47" spans="1:11">
      <c r="A47" s="121"/>
      <c r="B47" s="367" t="str">
        <f>Texte!A450</f>
        <v>500 kg Milchleistungsreduktion / 2 (MPP KF) = 250 kg Kraftfuttereinsparung</v>
      </c>
      <c r="G47" s="464"/>
      <c r="H47" s="464"/>
      <c r="I47" s="464"/>
    </row>
    <row r="48" spans="1:11">
      <c r="A48" s="121"/>
      <c r="B48" s="367" t="str">
        <f>Texte!A451</f>
        <v>*Hinweis: die tatsächliche Milchleistungsänderung pro kg Kraftfuttereinsatz oder -einsparung</v>
      </c>
      <c r="G48" s="464"/>
      <c r="H48" s="464"/>
      <c r="I48" s="464"/>
    </row>
    <row r="49" spans="1:9">
      <c r="A49" s="121"/>
      <c r="B49" s="367" t="str">
        <f>Texte!A452</f>
        <v>kann je nach Rationszusammensetzung variieren zwischen ca. 1 und 3</v>
      </c>
      <c r="G49" s="464"/>
      <c r="H49" s="464"/>
      <c r="I49" s="464"/>
    </row>
    <row r="50" spans="1:9">
      <c r="A50" s="121"/>
      <c r="G50" s="464"/>
      <c r="H50" s="464"/>
      <c r="I50" s="464"/>
    </row>
    <row r="51" spans="1:9">
      <c r="A51" s="121"/>
      <c r="G51" s="464"/>
      <c r="H51" s="464"/>
      <c r="I51" s="464"/>
    </row>
    <row r="52" spans="1:9">
      <c r="A52" s="121"/>
      <c r="G52" s="464"/>
      <c r="H52" s="464"/>
      <c r="I52" s="464"/>
    </row>
    <row r="53" spans="1:9">
      <c r="A53" s="121"/>
      <c r="G53" s="464"/>
      <c r="H53" s="464"/>
      <c r="I53" s="464"/>
    </row>
    <row r="54" spans="1:9">
      <c r="A54" s="121"/>
      <c r="G54" s="464"/>
      <c r="H54" s="464"/>
      <c r="I54" s="464"/>
    </row>
    <row r="55" spans="1:9">
      <c r="A55" s="121"/>
      <c r="G55" s="464"/>
      <c r="H55" s="464"/>
      <c r="I55" s="464"/>
    </row>
    <row r="56" spans="1:9">
      <c r="A56" s="121"/>
      <c r="G56" s="464"/>
      <c r="H56" s="464"/>
      <c r="I56" s="464"/>
    </row>
    <row r="57" spans="1:9">
      <c r="A57" s="121"/>
      <c r="G57" s="464"/>
      <c r="H57" s="464"/>
      <c r="I57" s="464"/>
    </row>
    <row r="58" spans="1:9">
      <c r="A58" s="121"/>
      <c r="G58" s="464"/>
      <c r="H58" s="464"/>
      <c r="I58" s="464"/>
    </row>
    <row r="59" spans="1:9">
      <c r="A59" s="121"/>
      <c r="G59" s="464"/>
      <c r="H59" s="464"/>
      <c r="I59" s="464"/>
    </row>
    <row r="60" spans="1:9">
      <c r="A60" s="121"/>
      <c r="B60" s="464"/>
      <c r="C60" s="464"/>
      <c r="D60" s="464"/>
      <c r="E60" s="464"/>
      <c r="F60" s="464"/>
      <c r="G60" s="464"/>
      <c r="H60" s="464"/>
      <c r="I60" s="464"/>
    </row>
    <row r="61" spans="1:9">
      <c r="A61" s="121"/>
      <c r="B61" s="464"/>
      <c r="C61" s="464"/>
      <c r="D61" s="464"/>
      <c r="E61" s="464"/>
      <c r="F61" s="464"/>
      <c r="G61" s="464"/>
      <c r="H61" s="464"/>
      <c r="I61" s="464"/>
    </row>
    <row r="62" spans="1:9">
      <c r="A62" s="121"/>
      <c r="B62" s="464"/>
      <c r="C62" s="464"/>
      <c r="D62" s="464"/>
      <c r="E62" s="464"/>
      <c r="F62" s="464"/>
      <c r="G62" s="464"/>
      <c r="H62" s="464"/>
      <c r="I62" s="464"/>
    </row>
    <row r="63" spans="1:9">
      <c r="A63" s="121"/>
      <c r="B63" s="464"/>
      <c r="C63" s="464"/>
      <c r="D63" s="464"/>
      <c r="E63" s="464"/>
      <c r="F63" s="464"/>
      <c r="G63" s="464"/>
      <c r="H63" s="464"/>
      <c r="I63" s="464"/>
    </row>
    <row r="64" spans="1:9">
      <c r="A64" s="121"/>
      <c r="B64" s="464"/>
      <c r="C64" s="464"/>
      <c r="D64" s="464"/>
      <c r="E64" s="464"/>
      <c r="F64" s="464"/>
      <c r="G64" s="464"/>
      <c r="H64" s="464"/>
      <c r="I64" s="464"/>
    </row>
    <row r="65" spans="1:9">
      <c r="A65" s="121"/>
      <c r="B65" s="464"/>
      <c r="C65" s="464"/>
      <c r="D65" s="464"/>
      <c r="E65" s="464"/>
      <c r="F65" s="464"/>
      <c r="G65" s="464"/>
      <c r="H65" s="464"/>
      <c r="I65" s="464"/>
    </row>
    <row r="66" spans="1:9">
      <c r="A66" s="121"/>
      <c r="B66" s="464"/>
      <c r="C66" s="464"/>
      <c r="D66" s="464"/>
      <c r="E66" s="464"/>
      <c r="F66" s="464"/>
      <c r="G66" s="464"/>
      <c r="H66" s="464"/>
      <c r="I66" s="464"/>
    </row>
    <row r="67" spans="1:9">
      <c r="A67" s="121"/>
      <c r="B67" s="464"/>
      <c r="C67" s="464"/>
      <c r="D67" s="464"/>
      <c r="E67" s="464"/>
      <c r="F67" s="464"/>
      <c r="G67" s="464"/>
      <c r="H67" s="464"/>
      <c r="I67" s="464"/>
    </row>
    <row r="68" spans="1:9">
      <c r="A68" s="121"/>
      <c r="B68" s="464"/>
      <c r="C68" s="464"/>
      <c r="D68" s="464"/>
      <c r="E68" s="464"/>
      <c r="F68" s="464"/>
      <c r="G68" s="464"/>
      <c r="H68" s="464"/>
      <c r="I68" s="464"/>
    </row>
    <row r="69" spans="1:9">
      <c r="A69" s="121"/>
      <c r="B69" s="464"/>
      <c r="C69" s="464"/>
      <c r="D69" s="464"/>
      <c r="E69" s="464"/>
      <c r="F69" s="464"/>
      <c r="G69" s="464"/>
      <c r="H69" s="464"/>
      <c r="I69" s="464"/>
    </row>
    <row r="70" spans="1:9">
      <c r="A70" s="121"/>
      <c r="B70" s="464"/>
      <c r="C70" s="464"/>
      <c r="D70" s="464"/>
      <c r="E70" s="464"/>
      <c r="F70" s="464"/>
      <c r="G70" s="464"/>
      <c r="H70" s="464"/>
      <c r="I70" s="464"/>
    </row>
    <row r="71" spans="1:9">
      <c r="A71" s="121"/>
      <c r="B71" s="464"/>
      <c r="C71" s="464"/>
      <c r="D71" s="464"/>
      <c r="E71" s="464"/>
      <c r="F71" s="464"/>
      <c r="G71" s="464"/>
      <c r="H71" s="464"/>
      <c r="I71" s="464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09A4-0038-4961-A750-C8E398911881}">
  <sheetPr codeName="Tabelle2"/>
  <dimension ref="A1:H87"/>
  <sheetViews>
    <sheetView zoomScaleNormal="100" workbookViewId="0"/>
  </sheetViews>
  <sheetFormatPr baseColWidth="10" defaultRowHeight="12.75"/>
  <cols>
    <col min="3" max="3" width="36.140625" customWidth="1"/>
    <col min="4" max="4" width="36.5703125" customWidth="1"/>
  </cols>
  <sheetData>
    <row r="1" spans="1:7">
      <c r="A1" s="75" t="s">
        <v>885</v>
      </c>
    </row>
    <row r="2" spans="1:7">
      <c r="A2" s="75" t="s">
        <v>904</v>
      </c>
      <c r="B2" s="75" t="s">
        <v>886</v>
      </c>
      <c r="C2" s="75" t="s">
        <v>887</v>
      </c>
      <c r="D2" s="75" t="s">
        <v>888</v>
      </c>
      <c r="E2" s="75" t="s">
        <v>889</v>
      </c>
      <c r="F2" s="75" t="s">
        <v>903</v>
      </c>
      <c r="G2" s="75" t="s">
        <v>905</v>
      </c>
    </row>
    <row r="3" spans="1:7">
      <c r="A3" t="s">
        <v>884</v>
      </c>
      <c r="B3" t="s">
        <v>551</v>
      </c>
      <c r="C3" t="s">
        <v>890</v>
      </c>
      <c r="D3" t="s">
        <v>891</v>
      </c>
      <c r="E3" s="371">
        <v>41386</v>
      </c>
      <c r="F3" t="s">
        <v>899</v>
      </c>
      <c r="G3" t="s">
        <v>906</v>
      </c>
    </row>
    <row r="4" spans="1:7">
      <c r="A4" t="s">
        <v>884</v>
      </c>
      <c r="B4" t="s">
        <v>551</v>
      </c>
      <c r="C4" t="s">
        <v>896</v>
      </c>
      <c r="D4" t="s">
        <v>898</v>
      </c>
      <c r="E4" s="371">
        <v>41386</v>
      </c>
      <c r="F4" t="s">
        <v>899</v>
      </c>
      <c r="G4" t="s">
        <v>906</v>
      </c>
    </row>
    <row r="5" spans="1:7">
      <c r="A5" t="s">
        <v>884</v>
      </c>
      <c r="B5" t="s">
        <v>551</v>
      </c>
      <c r="C5" t="s">
        <v>897</v>
      </c>
      <c r="D5" t="s">
        <v>892</v>
      </c>
      <c r="E5" s="371">
        <v>41386</v>
      </c>
      <c r="F5" t="s">
        <v>899</v>
      </c>
      <c r="G5" t="s">
        <v>906</v>
      </c>
    </row>
    <row r="6" spans="1:7">
      <c r="A6" t="s">
        <v>884</v>
      </c>
      <c r="B6" t="s">
        <v>895</v>
      </c>
      <c r="C6" t="s">
        <v>893</v>
      </c>
      <c r="D6" t="s">
        <v>894</v>
      </c>
      <c r="E6" s="371">
        <v>41386</v>
      </c>
      <c r="F6" t="s">
        <v>899</v>
      </c>
      <c r="G6" t="s">
        <v>906</v>
      </c>
    </row>
    <row r="7" spans="1:7">
      <c r="A7" t="s">
        <v>906</v>
      </c>
      <c r="B7" t="s">
        <v>1118</v>
      </c>
      <c r="C7" t="s">
        <v>1119</v>
      </c>
      <c r="D7" t="s">
        <v>1120</v>
      </c>
      <c r="E7" s="371">
        <v>41387</v>
      </c>
      <c r="F7" t="s">
        <v>899</v>
      </c>
      <c r="G7" t="s">
        <v>906</v>
      </c>
    </row>
    <row r="8" spans="1:7">
      <c r="A8" t="s">
        <v>906</v>
      </c>
      <c r="B8" t="s">
        <v>895</v>
      </c>
      <c r="D8" t="s">
        <v>1121</v>
      </c>
      <c r="E8" s="371">
        <v>41387</v>
      </c>
      <c r="F8" t="s">
        <v>899</v>
      </c>
      <c r="G8" t="s">
        <v>906</v>
      </c>
    </row>
    <row r="9" spans="1:7" ht="63.75">
      <c r="A9" t="s">
        <v>1164</v>
      </c>
      <c r="B9" t="s">
        <v>551</v>
      </c>
      <c r="C9" t="s">
        <v>1165</v>
      </c>
      <c r="D9" s="377" t="s">
        <v>1166</v>
      </c>
      <c r="E9" s="371">
        <v>41478</v>
      </c>
      <c r="F9" t="s">
        <v>899</v>
      </c>
      <c r="G9" t="s">
        <v>1164</v>
      </c>
    </row>
    <row r="10" spans="1:7">
      <c r="A10" t="s">
        <v>1167</v>
      </c>
      <c r="B10" t="s">
        <v>551</v>
      </c>
      <c r="C10" t="s">
        <v>1168</v>
      </c>
      <c r="D10" t="s">
        <v>1169</v>
      </c>
      <c r="E10" s="371">
        <v>41512</v>
      </c>
      <c r="F10" t="s">
        <v>899</v>
      </c>
      <c r="G10" t="s">
        <v>1167</v>
      </c>
    </row>
    <row r="11" spans="1:7">
      <c r="A11" t="s">
        <v>1200</v>
      </c>
      <c r="B11" t="s">
        <v>551</v>
      </c>
      <c r="C11" t="s">
        <v>1201</v>
      </c>
      <c r="D11" t="s">
        <v>1202</v>
      </c>
      <c r="E11" s="371">
        <v>41535</v>
      </c>
      <c r="F11" t="s">
        <v>899</v>
      </c>
      <c r="G11" t="s">
        <v>1205</v>
      </c>
    </row>
    <row r="12" spans="1:7">
      <c r="A12" t="s">
        <v>1205</v>
      </c>
      <c r="B12" t="s">
        <v>344</v>
      </c>
      <c r="D12" t="s">
        <v>346</v>
      </c>
      <c r="E12" s="371">
        <v>41568</v>
      </c>
      <c r="F12" t="s">
        <v>899</v>
      </c>
      <c r="G12" s="86" t="s">
        <v>345</v>
      </c>
    </row>
    <row r="13" spans="1:7">
      <c r="A13" t="s">
        <v>1232</v>
      </c>
      <c r="B13" t="s">
        <v>1233</v>
      </c>
      <c r="C13" t="s">
        <v>1234</v>
      </c>
      <c r="E13" s="371">
        <v>41570</v>
      </c>
      <c r="F13" t="s">
        <v>899</v>
      </c>
      <c r="G13" s="86" t="s">
        <v>345</v>
      </c>
    </row>
    <row r="14" spans="1:7">
      <c r="A14" t="s">
        <v>263</v>
      </c>
      <c r="B14" t="s">
        <v>551</v>
      </c>
      <c r="C14" t="s">
        <v>278</v>
      </c>
      <c r="D14" t="s">
        <v>279</v>
      </c>
      <c r="E14" s="371">
        <v>41618</v>
      </c>
      <c r="F14" t="s">
        <v>899</v>
      </c>
      <c r="G14" s="439">
        <v>1.1000000000000001</v>
      </c>
    </row>
    <row r="15" spans="1:7">
      <c r="A15" t="s">
        <v>263</v>
      </c>
      <c r="B15" t="s">
        <v>551</v>
      </c>
      <c r="D15" t="s">
        <v>264</v>
      </c>
      <c r="E15" s="371">
        <v>41618</v>
      </c>
      <c r="F15" t="s">
        <v>899</v>
      </c>
      <c r="G15" s="439">
        <v>1.1000000000000001</v>
      </c>
    </row>
    <row r="16" spans="1:7">
      <c r="A16" t="s">
        <v>263</v>
      </c>
      <c r="B16" t="s">
        <v>551</v>
      </c>
      <c r="D16" t="s">
        <v>265</v>
      </c>
      <c r="E16" s="371">
        <v>41618</v>
      </c>
      <c r="F16" t="s">
        <v>899</v>
      </c>
      <c r="G16" s="439">
        <v>1.1000000000000001</v>
      </c>
    </row>
    <row r="17" spans="1:8">
      <c r="A17" t="s">
        <v>263</v>
      </c>
      <c r="B17" t="s">
        <v>551</v>
      </c>
      <c r="C17" t="s">
        <v>269</v>
      </c>
      <c r="D17" t="s">
        <v>273</v>
      </c>
      <c r="E17" s="371">
        <v>41618</v>
      </c>
      <c r="F17" t="s">
        <v>899</v>
      </c>
      <c r="G17" s="439">
        <v>1.1000000000000001</v>
      </c>
    </row>
    <row r="18" spans="1:8">
      <c r="A18" t="s">
        <v>262</v>
      </c>
      <c r="B18" t="s">
        <v>895</v>
      </c>
      <c r="C18" t="s">
        <v>266</v>
      </c>
      <c r="E18" s="371">
        <v>41619</v>
      </c>
      <c r="F18" t="s">
        <v>899</v>
      </c>
      <c r="G18" s="439">
        <v>1.1000000000000001</v>
      </c>
    </row>
    <row r="19" spans="1:8">
      <c r="A19" t="s">
        <v>267</v>
      </c>
      <c r="B19" t="s">
        <v>551</v>
      </c>
      <c r="C19" t="s">
        <v>268</v>
      </c>
      <c r="E19" s="371">
        <v>41621</v>
      </c>
      <c r="F19" t="s">
        <v>899</v>
      </c>
      <c r="G19" s="439">
        <v>1.1000000000000001</v>
      </c>
    </row>
    <row r="20" spans="1:8">
      <c r="A20" t="s">
        <v>274</v>
      </c>
      <c r="B20" t="s">
        <v>280</v>
      </c>
      <c r="D20" t="s">
        <v>281</v>
      </c>
      <c r="E20" s="371">
        <v>41621</v>
      </c>
      <c r="F20" t="s">
        <v>899</v>
      </c>
      <c r="G20" s="439">
        <v>1.1000000000000001</v>
      </c>
    </row>
    <row r="21" spans="1:8">
      <c r="A21" t="s">
        <v>274</v>
      </c>
      <c r="B21" t="s">
        <v>551</v>
      </c>
      <c r="C21" t="s">
        <v>284</v>
      </c>
      <c r="E21" s="371">
        <v>41621</v>
      </c>
      <c r="F21" t="s">
        <v>899</v>
      </c>
      <c r="G21" s="439">
        <v>1.1000000000000001</v>
      </c>
    </row>
    <row r="22" spans="1:8">
      <c r="A22" t="s">
        <v>1251</v>
      </c>
      <c r="B22" t="s">
        <v>551</v>
      </c>
      <c r="D22" t="s">
        <v>1121</v>
      </c>
      <c r="E22" s="371">
        <v>41621</v>
      </c>
      <c r="F22" t="s">
        <v>899</v>
      </c>
      <c r="G22" s="439">
        <v>1.1000000000000001</v>
      </c>
    </row>
    <row r="23" spans="1:8">
      <c r="A23" t="s">
        <v>1251</v>
      </c>
      <c r="B23" t="s">
        <v>551</v>
      </c>
      <c r="C23" t="s">
        <v>1114</v>
      </c>
      <c r="D23" t="s">
        <v>1115</v>
      </c>
      <c r="E23" s="371">
        <v>41621</v>
      </c>
      <c r="F23" t="s">
        <v>899</v>
      </c>
      <c r="G23" s="439">
        <v>1.1000000000000001</v>
      </c>
    </row>
    <row r="24" spans="1:8">
      <c r="A24" t="s">
        <v>1251</v>
      </c>
      <c r="B24" t="s">
        <v>551</v>
      </c>
      <c r="C24" t="s">
        <v>1116</v>
      </c>
      <c r="E24" s="371">
        <v>41621</v>
      </c>
      <c r="F24" t="s">
        <v>899</v>
      </c>
      <c r="G24" s="439">
        <v>1.1000000000000001</v>
      </c>
    </row>
    <row r="25" spans="1:8">
      <c r="A25" t="s">
        <v>976</v>
      </c>
      <c r="B25" t="s">
        <v>551</v>
      </c>
      <c r="C25" t="s">
        <v>977</v>
      </c>
      <c r="D25" t="s">
        <v>978</v>
      </c>
      <c r="E25" s="371">
        <v>41627</v>
      </c>
      <c r="F25" t="s">
        <v>899</v>
      </c>
      <c r="G25" s="439">
        <v>1.1000000000000001</v>
      </c>
    </row>
    <row r="26" spans="1:8">
      <c r="A26" t="s">
        <v>830</v>
      </c>
      <c r="B26" t="s">
        <v>551</v>
      </c>
      <c r="C26" t="s">
        <v>834</v>
      </c>
      <c r="E26" s="371">
        <v>41656</v>
      </c>
      <c r="F26" t="s">
        <v>899</v>
      </c>
      <c r="G26" s="439">
        <v>1.1000000000000001</v>
      </c>
      <c r="H26" t="s">
        <v>480</v>
      </c>
    </row>
    <row r="27" spans="1:8">
      <c r="A27" t="s">
        <v>477</v>
      </c>
      <c r="B27" t="s">
        <v>551</v>
      </c>
      <c r="C27" t="s">
        <v>478</v>
      </c>
      <c r="F27" t="s">
        <v>899</v>
      </c>
      <c r="G27" t="s">
        <v>483</v>
      </c>
    </row>
    <row r="28" spans="1:8" ht="76.5">
      <c r="A28" t="s">
        <v>479</v>
      </c>
      <c r="B28" t="s">
        <v>551</v>
      </c>
      <c r="C28" t="s">
        <v>481</v>
      </c>
      <c r="D28" s="377" t="s">
        <v>482</v>
      </c>
      <c r="E28" s="371">
        <v>41723</v>
      </c>
      <c r="F28" t="s">
        <v>899</v>
      </c>
      <c r="G28" s="439">
        <v>1.2</v>
      </c>
    </row>
    <row r="29" spans="1:8" ht="89.25">
      <c r="A29" t="s">
        <v>9</v>
      </c>
      <c r="B29" t="s">
        <v>551</v>
      </c>
      <c r="D29" s="377" t="s">
        <v>844</v>
      </c>
      <c r="E29" s="371">
        <v>41723</v>
      </c>
      <c r="F29" t="s">
        <v>899</v>
      </c>
      <c r="G29" s="439">
        <v>1.2</v>
      </c>
    </row>
    <row r="30" spans="1:8">
      <c r="B30" t="s">
        <v>27</v>
      </c>
      <c r="C30" t="s">
        <v>28</v>
      </c>
      <c r="E30" s="371">
        <v>41723</v>
      </c>
      <c r="F30" t="s">
        <v>899</v>
      </c>
      <c r="G30" s="439">
        <v>1.2</v>
      </c>
    </row>
    <row r="31" spans="1:8">
      <c r="A31" t="s">
        <v>13</v>
      </c>
      <c r="B31" t="s">
        <v>27</v>
      </c>
      <c r="C31" t="s">
        <v>14</v>
      </c>
      <c r="E31" s="371">
        <v>41731</v>
      </c>
      <c r="F31" t="s">
        <v>899</v>
      </c>
      <c r="G31" s="439">
        <v>1.2</v>
      </c>
    </row>
    <row r="32" spans="1:8">
      <c r="B32" t="s">
        <v>551</v>
      </c>
      <c r="C32" s="439" t="s">
        <v>15</v>
      </c>
      <c r="D32" t="s">
        <v>16</v>
      </c>
      <c r="E32" s="371">
        <v>41731</v>
      </c>
      <c r="F32" t="s">
        <v>899</v>
      </c>
      <c r="G32" s="439">
        <v>1.2</v>
      </c>
    </row>
    <row r="33" spans="1:7">
      <c r="A33" t="s">
        <v>17</v>
      </c>
      <c r="B33" t="s">
        <v>27</v>
      </c>
      <c r="C33" t="s">
        <v>18</v>
      </c>
      <c r="E33" s="371">
        <v>41731</v>
      </c>
      <c r="F33" t="s">
        <v>899</v>
      </c>
      <c r="G33" s="439">
        <v>1.2</v>
      </c>
    </row>
    <row r="34" spans="1:7">
      <c r="B34" t="s">
        <v>551</v>
      </c>
      <c r="C34" t="s">
        <v>19</v>
      </c>
      <c r="E34" s="371">
        <v>41731</v>
      </c>
      <c r="F34" t="s">
        <v>899</v>
      </c>
      <c r="G34" s="439">
        <v>1.2</v>
      </c>
    </row>
    <row r="35" spans="1:7">
      <c r="A35" t="s">
        <v>1044</v>
      </c>
      <c r="C35" t="s">
        <v>266</v>
      </c>
      <c r="E35" s="371">
        <v>41733</v>
      </c>
      <c r="F35" t="s">
        <v>899</v>
      </c>
      <c r="G35" s="439">
        <v>1.2</v>
      </c>
    </row>
    <row r="36" spans="1:7">
      <c r="A36" t="s">
        <v>505</v>
      </c>
      <c r="B36" t="s">
        <v>551</v>
      </c>
      <c r="C36" t="s">
        <v>506</v>
      </c>
      <c r="E36" s="371">
        <v>41946</v>
      </c>
      <c r="F36" t="s">
        <v>899</v>
      </c>
      <c r="G36" s="439">
        <v>1.3</v>
      </c>
    </row>
    <row r="37" spans="1:7">
      <c r="A37" t="s">
        <v>1184</v>
      </c>
      <c r="B37" t="s">
        <v>551</v>
      </c>
      <c r="C37" t="s">
        <v>1186</v>
      </c>
      <c r="E37" s="371">
        <v>42011</v>
      </c>
      <c r="F37" t="s">
        <v>899</v>
      </c>
      <c r="G37" s="439">
        <v>1.3</v>
      </c>
    </row>
    <row r="38" spans="1:7">
      <c r="A38" t="s">
        <v>1184</v>
      </c>
      <c r="B38" t="s">
        <v>27</v>
      </c>
      <c r="C38" t="s">
        <v>1185</v>
      </c>
      <c r="E38" s="371">
        <v>42011</v>
      </c>
      <c r="F38" t="s">
        <v>899</v>
      </c>
      <c r="G38" s="439">
        <v>1.3</v>
      </c>
    </row>
    <row r="39" spans="1:7">
      <c r="A39" t="s">
        <v>900</v>
      </c>
      <c r="B39" t="s">
        <v>551</v>
      </c>
      <c r="C39" t="s">
        <v>901</v>
      </c>
      <c r="D39" t="s">
        <v>902</v>
      </c>
      <c r="E39" s="371">
        <v>42066</v>
      </c>
      <c r="F39" t="s">
        <v>899</v>
      </c>
      <c r="G39" s="439">
        <v>1.3</v>
      </c>
    </row>
    <row r="40" spans="1:7">
      <c r="A40" t="s">
        <v>1070</v>
      </c>
      <c r="B40" t="s">
        <v>551</v>
      </c>
      <c r="C40" t="s">
        <v>1071</v>
      </c>
      <c r="E40" s="371">
        <v>42096</v>
      </c>
      <c r="F40" t="s">
        <v>899</v>
      </c>
      <c r="G40" s="439">
        <v>1.3</v>
      </c>
    </row>
    <row r="41" spans="1:7">
      <c r="A41" t="s">
        <v>1072</v>
      </c>
      <c r="B41" t="s">
        <v>551</v>
      </c>
      <c r="C41" t="s">
        <v>1073</v>
      </c>
      <c r="E41" s="371">
        <v>42102</v>
      </c>
      <c r="F41" t="s">
        <v>899</v>
      </c>
      <c r="G41" s="439">
        <v>1.4</v>
      </c>
    </row>
    <row r="42" spans="1:7">
      <c r="A42" t="s">
        <v>985</v>
      </c>
      <c r="B42" t="s">
        <v>551</v>
      </c>
      <c r="C42" t="s">
        <v>984</v>
      </c>
      <c r="E42" s="371">
        <v>42103</v>
      </c>
      <c r="F42" t="s">
        <v>899</v>
      </c>
      <c r="G42" s="439">
        <v>1.4</v>
      </c>
    </row>
    <row r="43" spans="1:7">
      <c r="A43" t="s">
        <v>986</v>
      </c>
      <c r="B43" t="s">
        <v>987</v>
      </c>
      <c r="E43" s="371">
        <v>42109</v>
      </c>
      <c r="F43" t="s">
        <v>989</v>
      </c>
      <c r="G43" s="439">
        <v>1.4</v>
      </c>
    </row>
    <row r="44" spans="1:7">
      <c r="A44" t="s">
        <v>983</v>
      </c>
      <c r="B44" t="s">
        <v>987</v>
      </c>
      <c r="C44" t="s">
        <v>988</v>
      </c>
      <c r="E44" s="371">
        <v>42116</v>
      </c>
      <c r="F44" t="s">
        <v>989</v>
      </c>
      <c r="G44" s="439">
        <v>1.4</v>
      </c>
    </row>
    <row r="45" spans="1:7">
      <c r="A45" t="s">
        <v>990</v>
      </c>
      <c r="B45" t="s">
        <v>551</v>
      </c>
      <c r="C45" t="s">
        <v>991</v>
      </c>
      <c r="E45" s="371">
        <v>42121</v>
      </c>
      <c r="F45" t="s">
        <v>899</v>
      </c>
      <c r="G45" s="439">
        <v>1.4</v>
      </c>
    </row>
    <row r="46" spans="1:7">
      <c r="A46" t="s">
        <v>1001</v>
      </c>
      <c r="B46" t="s">
        <v>551</v>
      </c>
      <c r="C46" t="s">
        <v>1002</v>
      </c>
      <c r="E46" s="371">
        <v>42186</v>
      </c>
      <c r="F46" t="s">
        <v>899</v>
      </c>
      <c r="G46" s="439">
        <v>1.4</v>
      </c>
    </row>
    <row r="47" spans="1:7">
      <c r="A47" t="s">
        <v>1003</v>
      </c>
      <c r="B47" t="s">
        <v>551</v>
      </c>
      <c r="C47" t="s">
        <v>1004</v>
      </c>
      <c r="E47" s="371">
        <v>42186</v>
      </c>
      <c r="F47" t="s">
        <v>899</v>
      </c>
      <c r="G47" s="439">
        <v>1.4</v>
      </c>
    </row>
    <row r="48" spans="1:7">
      <c r="A48" t="s">
        <v>305</v>
      </c>
      <c r="B48" t="s">
        <v>551</v>
      </c>
      <c r="C48" t="s">
        <v>306</v>
      </c>
      <c r="E48" s="371">
        <v>42186</v>
      </c>
      <c r="F48" t="s">
        <v>899</v>
      </c>
      <c r="G48" s="439">
        <v>1.4</v>
      </c>
    </row>
    <row r="49" spans="1:7">
      <c r="A49" t="s">
        <v>955</v>
      </c>
      <c r="B49" t="s">
        <v>551</v>
      </c>
      <c r="C49" t="s">
        <v>956</v>
      </c>
      <c r="E49" s="371">
        <v>42201</v>
      </c>
      <c r="F49" t="s">
        <v>899</v>
      </c>
      <c r="G49" s="439">
        <v>1.4</v>
      </c>
    </row>
    <row r="50" spans="1:7">
      <c r="A50" t="s">
        <v>221</v>
      </c>
      <c r="B50" t="s">
        <v>551</v>
      </c>
      <c r="C50" t="s">
        <v>222</v>
      </c>
      <c r="E50" s="371">
        <v>42206</v>
      </c>
      <c r="F50" t="s">
        <v>899</v>
      </c>
      <c r="G50" s="439">
        <v>1.4</v>
      </c>
    </row>
    <row r="51" spans="1:7">
      <c r="A51" t="s">
        <v>1154</v>
      </c>
      <c r="B51" t="s">
        <v>551</v>
      </c>
      <c r="C51" t="s">
        <v>266</v>
      </c>
      <c r="E51" s="371">
        <v>42211</v>
      </c>
      <c r="F51" t="s">
        <v>899</v>
      </c>
      <c r="G51" s="439">
        <v>1.4</v>
      </c>
    </row>
    <row r="52" spans="1:7">
      <c r="A52" t="s">
        <v>858</v>
      </c>
      <c r="B52" t="s">
        <v>551</v>
      </c>
      <c r="C52" t="s">
        <v>859</v>
      </c>
      <c r="E52" s="371">
        <v>42443</v>
      </c>
      <c r="F52" t="s">
        <v>899</v>
      </c>
      <c r="G52" t="s">
        <v>860</v>
      </c>
    </row>
    <row r="53" spans="1:7">
      <c r="A53" t="s">
        <v>438</v>
      </c>
      <c r="B53" t="s">
        <v>551</v>
      </c>
      <c r="C53" t="s">
        <v>443</v>
      </c>
      <c r="E53" s="371">
        <v>42923</v>
      </c>
      <c r="F53" t="s">
        <v>899</v>
      </c>
      <c r="G53" s="439">
        <v>1.5</v>
      </c>
    </row>
    <row r="54" spans="1:7">
      <c r="A54" t="s">
        <v>439</v>
      </c>
      <c r="B54" t="s">
        <v>551</v>
      </c>
      <c r="C54" t="s">
        <v>443</v>
      </c>
      <c r="E54" s="371">
        <v>42923</v>
      </c>
      <c r="F54" t="s">
        <v>899</v>
      </c>
      <c r="G54" s="439">
        <v>1.5</v>
      </c>
    </row>
    <row r="55" spans="1:7">
      <c r="A55" t="s">
        <v>440</v>
      </c>
      <c r="B55" t="s">
        <v>551</v>
      </c>
      <c r="C55" t="s">
        <v>77</v>
      </c>
      <c r="E55" s="371">
        <v>42926</v>
      </c>
      <c r="F55" t="s">
        <v>899</v>
      </c>
      <c r="G55" s="439">
        <v>1.5</v>
      </c>
    </row>
    <row r="56" spans="1:7">
      <c r="A56" t="s">
        <v>441</v>
      </c>
      <c r="B56" t="s">
        <v>551</v>
      </c>
      <c r="C56" t="s">
        <v>76</v>
      </c>
      <c r="E56" s="371">
        <v>42926</v>
      </c>
      <c r="F56" t="s">
        <v>899</v>
      </c>
      <c r="G56" s="439">
        <v>1.5</v>
      </c>
    </row>
    <row r="57" spans="1:7">
      <c r="A57" t="s">
        <v>442</v>
      </c>
      <c r="B57" t="s">
        <v>551</v>
      </c>
    </row>
    <row r="58" spans="1:7">
      <c r="A58" t="s">
        <v>85</v>
      </c>
      <c r="B58" t="s">
        <v>551</v>
      </c>
      <c r="C58" t="s">
        <v>86</v>
      </c>
      <c r="E58" s="371">
        <v>43035</v>
      </c>
      <c r="F58" t="s">
        <v>87</v>
      </c>
      <c r="G58" s="439">
        <v>1.5</v>
      </c>
    </row>
    <row r="59" spans="1:7">
      <c r="A59" t="s">
        <v>107</v>
      </c>
      <c r="B59" t="s">
        <v>551</v>
      </c>
      <c r="C59" t="s">
        <v>108</v>
      </c>
      <c r="E59" s="371">
        <v>43112</v>
      </c>
      <c r="F59" t="s">
        <v>87</v>
      </c>
      <c r="G59" s="439">
        <v>1.5</v>
      </c>
    </row>
    <row r="60" spans="1:7">
      <c r="A60" t="s">
        <v>109</v>
      </c>
      <c r="B60" t="s">
        <v>551</v>
      </c>
      <c r="C60" t="s">
        <v>110</v>
      </c>
      <c r="E60" s="371">
        <v>43112</v>
      </c>
      <c r="F60" t="s">
        <v>87</v>
      </c>
      <c r="G60" s="439">
        <v>1.6</v>
      </c>
    </row>
    <row r="61" spans="1:7">
      <c r="A61" t="s">
        <v>111</v>
      </c>
      <c r="B61" t="s">
        <v>551</v>
      </c>
      <c r="C61" t="s">
        <v>110</v>
      </c>
      <c r="E61" s="371">
        <v>43115</v>
      </c>
      <c r="F61" t="s">
        <v>87</v>
      </c>
      <c r="G61" s="439">
        <v>1.6</v>
      </c>
    </row>
    <row r="62" spans="1:7">
      <c r="A62" t="s">
        <v>112</v>
      </c>
      <c r="B62" t="s">
        <v>551</v>
      </c>
      <c r="C62" t="s">
        <v>110</v>
      </c>
      <c r="E62" s="371">
        <v>43115</v>
      </c>
      <c r="F62" t="s">
        <v>87</v>
      </c>
      <c r="G62" s="439">
        <v>1.6</v>
      </c>
    </row>
    <row r="63" spans="1:7">
      <c r="A63" t="s">
        <v>149</v>
      </c>
      <c r="B63" t="s">
        <v>551</v>
      </c>
      <c r="C63" t="s">
        <v>150</v>
      </c>
      <c r="E63" s="371">
        <v>43164</v>
      </c>
      <c r="F63" t="s">
        <v>87</v>
      </c>
      <c r="G63" s="439">
        <v>1.6</v>
      </c>
    </row>
    <row r="64" spans="1:7">
      <c r="A64" t="s">
        <v>173</v>
      </c>
      <c r="B64" t="s">
        <v>551</v>
      </c>
      <c r="C64" s="86" t="s">
        <v>174</v>
      </c>
      <c r="E64" s="371">
        <v>43514</v>
      </c>
      <c r="F64" t="s">
        <v>87</v>
      </c>
      <c r="G64" s="439">
        <v>1.6</v>
      </c>
    </row>
    <row r="65" spans="1:7">
      <c r="A65" t="s">
        <v>173</v>
      </c>
      <c r="B65" t="s">
        <v>895</v>
      </c>
      <c r="C65" t="s">
        <v>175</v>
      </c>
      <c r="E65" s="371">
        <v>43514</v>
      </c>
      <c r="F65" t="s">
        <v>87</v>
      </c>
      <c r="G65" s="439">
        <v>1.6</v>
      </c>
    </row>
    <row r="66" spans="1:7">
      <c r="A66" s="7" t="s">
        <v>1275</v>
      </c>
      <c r="B66" t="s">
        <v>176</v>
      </c>
      <c r="C66" s="7" t="s">
        <v>1274</v>
      </c>
      <c r="E66" s="371"/>
      <c r="F66" s="7" t="s">
        <v>989</v>
      </c>
      <c r="G66" s="439">
        <v>1.6</v>
      </c>
    </row>
    <row r="67" spans="1:7">
      <c r="A67" s="7" t="s">
        <v>1276</v>
      </c>
      <c r="B67" s="7" t="s">
        <v>551</v>
      </c>
      <c r="C67" s="7" t="s">
        <v>1277</v>
      </c>
      <c r="E67" s="371">
        <v>43539</v>
      </c>
      <c r="F67" t="s">
        <v>87</v>
      </c>
      <c r="G67" s="439">
        <v>1.6</v>
      </c>
    </row>
    <row r="68" spans="1:7">
      <c r="A68" s="7" t="s">
        <v>1283</v>
      </c>
      <c r="B68" s="7" t="s">
        <v>551</v>
      </c>
      <c r="C68" s="7" t="s">
        <v>1284</v>
      </c>
      <c r="E68" s="371">
        <v>43539</v>
      </c>
      <c r="F68" t="s">
        <v>87</v>
      </c>
      <c r="G68" s="439">
        <v>1.6</v>
      </c>
    </row>
    <row r="69" spans="1:7">
      <c r="A69" s="7" t="s">
        <v>1319</v>
      </c>
      <c r="B69" s="7" t="s">
        <v>1322</v>
      </c>
      <c r="C69" s="7" t="s">
        <v>1320</v>
      </c>
      <c r="E69" s="371">
        <v>44158</v>
      </c>
      <c r="F69" t="s">
        <v>87</v>
      </c>
      <c r="G69" s="439">
        <v>1.7</v>
      </c>
    </row>
    <row r="70" spans="1:7">
      <c r="A70" s="7" t="s">
        <v>1321</v>
      </c>
      <c r="B70" s="7" t="s">
        <v>1323</v>
      </c>
      <c r="C70" s="7" t="s">
        <v>1320</v>
      </c>
      <c r="E70" s="371">
        <v>44162</v>
      </c>
      <c r="F70" t="s">
        <v>87</v>
      </c>
      <c r="G70" s="439">
        <v>1.7</v>
      </c>
    </row>
    <row r="71" spans="1:7">
      <c r="A71" s="7" t="s">
        <v>1330</v>
      </c>
      <c r="B71" s="7" t="s">
        <v>1331</v>
      </c>
      <c r="C71" s="7" t="s">
        <v>1320</v>
      </c>
      <c r="E71" s="371">
        <v>44162</v>
      </c>
      <c r="F71" s="7" t="s">
        <v>87</v>
      </c>
      <c r="G71" s="439">
        <v>1.7</v>
      </c>
    </row>
    <row r="72" spans="1:7">
      <c r="A72" s="7" t="s">
        <v>1345</v>
      </c>
      <c r="B72" s="7" t="s">
        <v>1347</v>
      </c>
      <c r="C72" s="7" t="s">
        <v>1320</v>
      </c>
      <c r="E72" s="371">
        <v>44165</v>
      </c>
      <c r="F72" s="7" t="s">
        <v>87</v>
      </c>
      <c r="G72" s="439">
        <v>1.7</v>
      </c>
    </row>
    <row r="73" spans="1:7">
      <c r="A73" s="7" t="s">
        <v>1346</v>
      </c>
      <c r="B73" s="7" t="s">
        <v>551</v>
      </c>
      <c r="C73" s="7" t="s">
        <v>1320</v>
      </c>
      <c r="E73" s="371">
        <v>44165</v>
      </c>
      <c r="F73" s="7" t="s">
        <v>87</v>
      </c>
      <c r="G73" s="439">
        <v>1.7</v>
      </c>
    </row>
    <row r="74" spans="1:7">
      <c r="A74" s="7" t="s">
        <v>1348</v>
      </c>
      <c r="B74" s="7" t="s">
        <v>551</v>
      </c>
      <c r="C74" s="7" t="s">
        <v>1349</v>
      </c>
      <c r="E74" s="371">
        <v>44165</v>
      </c>
      <c r="F74" s="7" t="s">
        <v>87</v>
      </c>
      <c r="G74" s="439">
        <v>1.7</v>
      </c>
    </row>
    <row r="75" spans="1:7">
      <c r="A75" s="7" t="s">
        <v>1350</v>
      </c>
      <c r="B75" s="7" t="s">
        <v>551</v>
      </c>
      <c r="C75" s="7" t="s">
        <v>1320</v>
      </c>
      <c r="D75" s="7" t="s">
        <v>1351</v>
      </c>
      <c r="E75" s="371">
        <v>44166</v>
      </c>
      <c r="F75" s="7" t="s">
        <v>87</v>
      </c>
      <c r="G75" s="439">
        <v>1.7</v>
      </c>
    </row>
    <row r="76" spans="1:7">
      <c r="A76" s="7" t="s">
        <v>1355</v>
      </c>
      <c r="B76" s="7" t="s">
        <v>551</v>
      </c>
      <c r="C76" s="7" t="s">
        <v>1320</v>
      </c>
      <c r="D76" s="7" t="s">
        <v>1356</v>
      </c>
      <c r="E76" s="371">
        <v>44169</v>
      </c>
      <c r="F76" s="7" t="s">
        <v>87</v>
      </c>
      <c r="G76" s="439">
        <v>1.7</v>
      </c>
    </row>
    <row r="77" spans="1:7">
      <c r="A77" s="7" t="s">
        <v>1357</v>
      </c>
      <c r="B77" s="7" t="s">
        <v>551</v>
      </c>
      <c r="C77" s="7" t="s">
        <v>1320</v>
      </c>
      <c r="D77" s="7" t="s">
        <v>1358</v>
      </c>
      <c r="E77" s="371">
        <v>44169</v>
      </c>
      <c r="F77" s="7" t="s">
        <v>87</v>
      </c>
      <c r="G77" s="439">
        <v>1.7</v>
      </c>
    </row>
    <row r="78" spans="1:7">
      <c r="A78" s="7" t="s">
        <v>1369</v>
      </c>
      <c r="B78" s="7" t="s">
        <v>551</v>
      </c>
      <c r="C78" s="7" t="s">
        <v>1370</v>
      </c>
      <c r="E78" s="371">
        <v>44172</v>
      </c>
      <c r="F78" s="7" t="s">
        <v>87</v>
      </c>
      <c r="G78" s="439">
        <v>1.7</v>
      </c>
    </row>
    <row r="79" spans="1:7">
      <c r="A79" s="7" t="s">
        <v>1371</v>
      </c>
      <c r="B79" s="7" t="s">
        <v>551</v>
      </c>
      <c r="C79" s="7" t="s">
        <v>1372</v>
      </c>
      <c r="D79" s="7" t="s">
        <v>1373</v>
      </c>
      <c r="E79" s="371">
        <v>44930</v>
      </c>
      <c r="F79" s="7" t="s">
        <v>87</v>
      </c>
      <c r="G79" s="439">
        <v>1.8</v>
      </c>
    </row>
    <row r="80" spans="1:7">
      <c r="A80" s="7" t="s">
        <v>1377</v>
      </c>
      <c r="B80" s="7" t="s">
        <v>895</v>
      </c>
      <c r="C80" s="7" t="s">
        <v>1378</v>
      </c>
      <c r="E80" s="371">
        <v>45034</v>
      </c>
      <c r="F80" s="7" t="s">
        <v>899</v>
      </c>
      <c r="G80" s="439">
        <v>1.8</v>
      </c>
    </row>
    <row r="81" spans="1:7">
      <c r="A81" s="7" t="s">
        <v>1379</v>
      </c>
      <c r="B81" s="7" t="s">
        <v>895</v>
      </c>
      <c r="C81" s="7" t="s">
        <v>1400</v>
      </c>
      <c r="E81" s="371">
        <v>45303</v>
      </c>
      <c r="F81" s="7" t="s">
        <v>87</v>
      </c>
      <c r="G81" s="439">
        <v>1.9</v>
      </c>
    </row>
    <row r="82" spans="1:7">
      <c r="A82" s="7" t="s">
        <v>1425</v>
      </c>
      <c r="B82" s="7" t="s">
        <v>895</v>
      </c>
      <c r="C82" s="7" t="s">
        <v>1430</v>
      </c>
      <c r="E82" s="371">
        <v>45597</v>
      </c>
      <c r="F82" s="7" t="s">
        <v>87</v>
      </c>
      <c r="G82" s="439">
        <v>1.1000000000000001</v>
      </c>
    </row>
    <row r="83" spans="1:7">
      <c r="A83" s="7" t="s">
        <v>1425</v>
      </c>
      <c r="B83" s="7" t="s">
        <v>1118</v>
      </c>
      <c r="C83" s="7" t="s">
        <v>1426</v>
      </c>
      <c r="E83" s="371">
        <v>45597</v>
      </c>
      <c r="F83" s="7" t="s">
        <v>87</v>
      </c>
      <c r="G83" s="439">
        <v>1.1000000000000001</v>
      </c>
    </row>
    <row r="84" spans="1:7">
      <c r="A84" s="7" t="s">
        <v>1425</v>
      </c>
      <c r="B84" s="7" t="s">
        <v>551</v>
      </c>
      <c r="C84" s="7" t="s">
        <v>1431</v>
      </c>
      <c r="E84" s="371">
        <v>45597</v>
      </c>
      <c r="F84" s="7" t="s">
        <v>87</v>
      </c>
      <c r="G84" s="439">
        <v>1.1000000000000001</v>
      </c>
    </row>
    <row r="85" spans="1:7">
      <c r="A85" s="7" t="s">
        <v>1425</v>
      </c>
      <c r="B85" s="7" t="s">
        <v>551</v>
      </c>
      <c r="C85" s="7" t="s">
        <v>1438</v>
      </c>
      <c r="E85" s="371">
        <v>45597</v>
      </c>
      <c r="F85" s="7" t="s">
        <v>87</v>
      </c>
      <c r="G85" s="439">
        <v>1.1000000000000001</v>
      </c>
    </row>
    <row r="86" spans="1:7">
      <c r="A86" s="7" t="s">
        <v>1440</v>
      </c>
      <c r="B86" s="7" t="s">
        <v>1441</v>
      </c>
      <c r="C86" s="7" t="s">
        <v>1442</v>
      </c>
      <c r="D86" s="7" t="s">
        <v>1443</v>
      </c>
      <c r="E86" s="371">
        <v>45687</v>
      </c>
      <c r="F86" s="7" t="s">
        <v>87</v>
      </c>
      <c r="G86" s="439">
        <v>1.1000000000000001</v>
      </c>
    </row>
    <row r="87" spans="1:7">
      <c r="A87" s="7" t="s">
        <v>1450</v>
      </c>
      <c r="B87" s="7" t="s">
        <v>895</v>
      </c>
      <c r="C87" s="7" t="s">
        <v>1451</v>
      </c>
      <c r="E87" s="371">
        <v>46013</v>
      </c>
      <c r="F87" s="7" t="s">
        <v>87</v>
      </c>
      <c r="G87" s="439">
        <v>1.1100000000000001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E858-0C74-4481-B94C-E67733C801CF}">
  <sheetPr codeName="Tabelle46"/>
  <dimension ref="A1:IV452"/>
  <sheetViews>
    <sheetView zoomScaleNormal="100" workbookViewId="0"/>
  </sheetViews>
  <sheetFormatPr baseColWidth="10" defaultColWidth="42.140625" defaultRowHeight="12.75"/>
  <cols>
    <col min="1" max="1" width="43.28515625" customWidth="1"/>
    <col min="2" max="2" width="42.140625" customWidth="1"/>
    <col min="3" max="3" width="43.42578125" customWidth="1"/>
  </cols>
  <sheetData>
    <row r="1" spans="1:4">
      <c r="A1" t="s">
        <v>578</v>
      </c>
    </row>
    <row r="2" spans="1:4">
      <c r="A2" s="98">
        <f>VLOOKUP(README!C9,README!N9:O11,2)</f>
        <v>1</v>
      </c>
    </row>
    <row r="3" spans="1:4">
      <c r="B3" s="75" t="s">
        <v>579</v>
      </c>
      <c r="C3" s="75" t="s">
        <v>580</v>
      </c>
      <c r="D3" s="75" t="s">
        <v>581</v>
      </c>
    </row>
    <row r="4" spans="1:4" s="75" customFormat="1">
      <c r="A4" s="75" t="str">
        <f>IF($A$2=1,B4,IF($A$2=2,C4,IF($A$2=3,D4,"")))</f>
        <v>Anleitung</v>
      </c>
      <c r="B4" s="75" t="s">
        <v>504</v>
      </c>
      <c r="C4" s="75" t="s">
        <v>571</v>
      </c>
      <c r="D4" s="375" t="s">
        <v>907</v>
      </c>
    </row>
    <row r="5" spans="1:4">
      <c r="A5" s="7" t="str">
        <f t="shared" ref="A5:A70" si="0">IF($A$2=1,B5,IF($A$2=2,C5,IF($A$2=3,D5,"")))</f>
        <v>GMF</v>
      </c>
      <c r="B5" t="s">
        <v>729</v>
      </c>
      <c r="C5" t="s">
        <v>663</v>
      </c>
      <c r="D5" s="376" t="s">
        <v>908</v>
      </c>
    </row>
    <row r="6" spans="1:4">
      <c r="A6" s="7" t="str">
        <f t="shared" si="0"/>
        <v>Version: 1.11</v>
      </c>
      <c r="B6" s="7" t="s">
        <v>1444</v>
      </c>
      <c r="C6" s="7" t="s">
        <v>1445</v>
      </c>
      <c r="D6" s="376" t="s">
        <v>1446</v>
      </c>
    </row>
    <row r="7" spans="1:4">
      <c r="A7" s="7" t="str">
        <f t="shared" si="0"/>
        <v>dazugehörende Suisse-Bilanz Version 1.20</v>
      </c>
      <c r="B7" s="7" t="s">
        <v>1447</v>
      </c>
      <c r="C7" s="7" t="s">
        <v>1448</v>
      </c>
      <c r="D7" s="7" t="s">
        <v>1449</v>
      </c>
    </row>
    <row r="8" spans="1:4">
      <c r="A8" s="7">
        <f t="shared" si="0"/>
        <v>0</v>
      </c>
      <c r="D8" s="155"/>
    </row>
    <row r="9" spans="1:4">
      <c r="A9" s="7" t="str">
        <f t="shared" si="0"/>
        <v>Sprache:</v>
      </c>
      <c r="B9" t="s">
        <v>582</v>
      </c>
      <c r="C9" t="s">
        <v>583</v>
      </c>
      <c r="D9" s="376" t="s">
        <v>584</v>
      </c>
    </row>
    <row r="10" spans="1:4">
      <c r="A10" s="7" t="str">
        <f t="shared" si="0"/>
        <v>Anleitung</v>
      </c>
      <c r="B10" t="s">
        <v>504</v>
      </c>
      <c r="C10" t="s">
        <v>571</v>
      </c>
      <c r="D10" s="376" t="s">
        <v>907</v>
      </c>
    </row>
    <row r="11" spans="1:4">
      <c r="A11" s="7" t="str">
        <f t="shared" si="0"/>
        <v>grüne Zellen:</v>
      </c>
      <c r="B11" t="s">
        <v>510</v>
      </c>
      <c r="C11" t="s">
        <v>572</v>
      </c>
      <c r="D11" s="376" t="s">
        <v>1111</v>
      </c>
    </row>
    <row r="12" spans="1:4">
      <c r="A12" s="7" t="str">
        <f t="shared" si="0"/>
        <v>gelbe Zeilen:</v>
      </c>
      <c r="B12" t="s">
        <v>511</v>
      </c>
      <c r="C12" t="s">
        <v>573</v>
      </c>
      <c r="D12" s="376" t="s">
        <v>1112</v>
      </c>
    </row>
    <row r="13" spans="1:4">
      <c r="A13" s="7" t="str">
        <f t="shared" si="0"/>
        <v xml:space="preserve">weisse Zellen: </v>
      </c>
      <c r="B13" t="s">
        <v>512</v>
      </c>
      <c r="C13" t="s">
        <v>397</v>
      </c>
      <c r="D13" s="376" t="s">
        <v>1113</v>
      </c>
    </row>
    <row r="14" spans="1:4">
      <c r="A14" s="7" t="str">
        <f t="shared" si="0"/>
        <v>Auswahllisten</v>
      </c>
      <c r="B14" t="s">
        <v>399</v>
      </c>
      <c r="C14" t="s">
        <v>398</v>
      </c>
      <c r="D14" s="376" t="s">
        <v>909</v>
      </c>
    </row>
    <row r="15" spans="1:4">
      <c r="A15" s="7" t="str">
        <f t="shared" si="0"/>
        <v>zur Dateneingabe</v>
      </c>
      <c r="B15" t="s">
        <v>570</v>
      </c>
      <c r="C15" t="s">
        <v>400</v>
      </c>
      <c r="D15" s="376" t="s">
        <v>910</v>
      </c>
    </row>
    <row r="16" spans="1:4">
      <c r="A16" s="7" t="str">
        <f t="shared" si="0"/>
        <v>gesperrte Zellen</v>
      </c>
      <c r="B16" t="s">
        <v>513</v>
      </c>
      <c r="C16" t="s">
        <v>401</v>
      </c>
      <c r="D16" s="376" t="s">
        <v>911</v>
      </c>
    </row>
    <row r="17" spans="1:4">
      <c r="A17" s="7" t="str">
        <f t="shared" si="0"/>
        <v>Vorgehen:</v>
      </c>
      <c r="B17" t="s">
        <v>514</v>
      </c>
      <c r="C17" s="7" t="s">
        <v>800</v>
      </c>
      <c r="D17" s="376" t="s">
        <v>1117</v>
      </c>
    </row>
    <row r="18" spans="1:4">
      <c r="A18" s="7" t="str">
        <f t="shared" si="0"/>
        <v>Grundsatz: Übereinstimmung mit Suisse-Bilanz muss sein</v>
      </c>
      <c r="B18" t="s">
        <v>526</v>
      </c>
      <c r="C18" s="7" t="s">
        <v>801</v>
      </c>
      <c r="D18" s="376" t="s">
        <v>912</v>
      </c>
    </row>
    <row r="19" spans="1:4">
      <c r="A19" s="7" t="str">
        <f t="shared" si="0"/>
        <v>1. Betriebsangaben ausfüllen, insbesondere die "Gebietszuteilung"</v>
      </c>
      <c r="B19" t="s">
        <v>1219</v>
      </c>
      <c r="C19" s="7" t="s">
        <v>1220</v>
      </c>
      <c r="D19" s="376" t="s">
        <v>1221</v>
      </c>
    </row>
    <row r="20" spans="1:4">
      <c r="A20" s="7" t="str">
        <f t="shared" si="0"/>
        <v>2. Teil A: Grund- und Kraftfutterverzehr</v>
      </c>
      <c r="B20" s="7" t="s">
        <v>1235</v>
      </c>
      <c r="C20" s="7" t="s">
        <v>1236</v>
      </c>
      <c r="D20" s="376" t="s">
        <v>1237</v>
      </c>
    </row>
    <row r="21" spans="1:4">
      <c r="A21" s="7" t="str">
        <f t="shared" si="0"/>
        <v xml:space="preserve">    - Alle Tierarten mit Grundfutterverzehr erfassen</v>
      </c>
      <c r="B21" t="s">
        <v>1252</v>
      </c>
      <c r="C21" s="7" t="s">
        <v>1264</v>
      </c>
      <c r="D21" s="7" t="s">
        <v>1034</v>
      </c>
    </row>
    <row r="22" spans="1:4">
      <c r="A22" s="7" t="str">
        <f t="shared" si="0"/>
        <v xml:space="preserve">    - Pro Tierkategorie die Gesamtmenge Kraftfutter, die auf</v>
      </c>
      <c r="B22" t="s">
        <v>1181</v>
      </c>
      <c r="C22" s="7" t="s">
        <v>1178</v>
      </c>
      <c r="D22" s="7" t="s">
        <v>1179</v>
      </c>
    </row>
    <row r="23" spans="1:4">
      <c r="A23" s="7" t="str">
        <f t="shared" si="0"/>
        <v xml:space="preserve">      dem Ganzjahresbetrieb verfüttert wird, erfassen.</v>
      </c>
      <c r="B23" s="86" t="s">
        <v>1183</v>
      </c>
      <c r="C23" s="7" t="s">
        <v>1182</v>
      </c>
      <c r="D23" s="7" t="s">
        <v>1180</v>
      </c>
    </row>
    <row r="24" spans="1:4">
      <c r="A24" s="7" t="str">
        <f t="shared" si="0"/>
        <v xml:space="preserve">    - Sömmerung: bei den Tierzahlen müssen die Anzahl gesömmerte Tiere (positiv) </v>
      </c>
      <c r="B24" s="490" t="s">
        <v>10</v>
      </c>
      <c r="C24" s="493" t="s">
        <v>31</v>
      </c>
      <c r="D24" s="493" t="s">
        <v>1035</v>
      </c>
    </row>
    <row r="25" spans="1:4">
      <c r="A25" s="7" t="str">
        <f t="shared" si="0"/>
        <v xml:space="preserve">      und die Tage Sömmerung separat erfasst werden.</v>
      </c>
      <c r="B25" s="490" t="s">
        <v>12</v>
      </c>
      <c r="C25" s="7" t="s">
        <v>11</v>
      </c>
      <c r="D25" s="7" t="s">
        <v>1036</v>
      </c>
    </row>
    <row r="26" spans="1:4">
      <c r="A26" s="7" t="str">
        <f t="shared" si="0"/>
        <v xml:space="preserve">    - Falls die Sömmerung erfasst wird, muss die effektiv verfütterte Menge an</v>
      </c>
      <c r="B26" s="7" t="s">
        <v>464</v>
      </c>
      <c r="C26" s="7" t="s">
        <v>467</v>
      </c>
      <c r="D26" s="448" t="s">
        <v>104</v>
      </c>
    </row>
    <row r="27" spans="1:4">
      <c r="A27" s="7" t="str">
        <f t="shared" si="0"/>
        <v xml:space="preserve">      Kraftfutter zwingend in der Futterbilanz deklariert werden. </v>
      </c>
      <c r="B27" s="7" t="s">
        <v>465</v>
      </c>
      <c r="C27" s="7" t="s">
        <v>468</v>
      </c>
      <c r="D27" s="448" t="s">
        <v>105</v>
      </c>
    </row>
    <row r="28" spans="1:4">
      <c r="A28" s="7" t="str">
        <f t="shared" si="0"/>
        <v xml:space="preserve">    - KF-Verzehr während Sömmerung nur möglich für gemolkene Tiere folgender Kategorien: Milchkühe,</v>
      </c>
      <c r="B28" s="7" t="s">
        <v>26</v>
      </c>
      <c r="C28" s="7" t="s">
        <v>34</v>
      </c>
      <c r="D28" s="7" t="s">
        <v>1037</v>
      </c>
    </row>
    <row r="29" spans="1:4">
      <c r="A29" s="7" t="str">
        <f t="shared" si="0"/>
        <v xml:space="preserve">      Milchschafe und Milchziegen. Maximal 1 kg KF/Kuh/d, 0.25 kg/Schaf/d, 0.2kg/Ziege/d</v>
      </c>
      <c r="B29" s="7" t="s">
        <v>466</v>
      </c>
      <c r="C29" s="7" t="s">
        <v>469</v>
      </c>
      <c r="D29" s="7" t="s">
        <v>470</v>
      </c>
    </row>
    <row r="30" spans="1:4">
      <c r="A30" s="7" t="str">
        <f t="shared" si="0"/>
        <v xml:space="preserve">    - Für Grund- und Kraftfutter während der Sömmerung gelten ebenfalls </v>
      </c>
      <c r="B30" s="404" t="s">
        <v>29</v>
      </c>
      <c r="C30" t="s">
        <v>32</v>
      </c>
      <c r="D30" s="7" t="s">
        <v>1038</v>
      </c>
    </row>
    <row r="31" spans="1:4">
      <c r="A31" s="7" t="str">
        <f t="shared" si="0"/>
        <v xml:space="preserve">      die Definitionen gemäss Anhang 5 DZV.</v>
      </c>
      <c r="B31" s="404" t="s">
        <v>30</v>
      </c>
      <c r="C31" t="s">
        <v>33</v>
      </c>
      <c r="D31" s="7" t="s">
        <v>1039</v>
      </c>
    </row>
    <row r="32" spans="1:4">
      <c r="A32" s="7" t="str">
        <f t="shared" si="0"/>
        <v>3. Teil B: Grundfutterproduktion</v>
      </c>
      <c r="B32" t="s">
        <v>1266</v>
      </c>
      <c r="C32" s="7" t="s">
        <v>1267</v>
      </c>
      <c r="D32" s="376" t="s">
        <v>1270</v>
      </c>
    </row>
    <row r="33" spans="1:4">
      <c r="A33" s="7" t="str">
        <f t="shared" si="0"/>
        <v xml:space="preserve">    - Flächen und Erträge erfassen</v>
      </c>
      <c r="B33" t="s">
        <v>1265</v>
      </c>
      <c r="C33" s="7" t="s">
        <v>1268</v>
      </c>
      <c r="D33" s="376" t="s">
        <v>1269</v>
      </c>
    </row>
    <row r="34" spans="1:4">
      <c r="A34" s="7" t="str">
        <f t="shared" si="0"/>
        <v xml:space="preserve">    - Für Wiesen und Weiden gelten Maximalwerte</v>
      </c>
      <c r="B34" t="s">
        <v>1271</v>
      </c>
      <c r="C34" s="7" t="s">
        <v>1272</v>
      </c>
      <c r="D34" s="376" t="s">
        <v>1273</v>
      </c>
    </row>
    <row r="35" spans="1:4">
      <c r="A35" s="7" t="str">
        <f t="shared" si="0"/>
        <v xml:space="preserve">    - Höhere Erträge nur mit Ertragsgutachten möglich</v>
      </c>
      <c r="B35" t="s">
        <v>0</v>
      </c>
      <c r="C35" s="7" t="s">
        <v>1</v>
      </c>
      <c r="D35" s="376" t="s">
        <v>2</v>
      </c>
    </row>
    <row r="36" spans="1:4">
      <c r="A36" s="7" t="str">
        <f t="shared" si="0"/>
        <v xml:space="preserve">    - Erträge Zwischenkulturen max. 25 dt TS</v>
      </c>
      <c r="B36" t="s">
        <v>3</v>
      </c>
      <c r="C36" s="7" t="s">
        <v>4</v>
      </c>
      <c r="D36" s="376" t="s">
        <v>5</v>
      </c>
    </row>
    <row r="37" spans="1:4">
      <c r="A37" s="7" t="str">
        <f t="shared" si="0"/>
        <v>4. Angaben für die Berechnung des Mindesttierbesatzes</v>
      </c>
      <c r="B37" t="s">
        <v>8</v>
      </c>
      <c r="C37" s="7" t="s">
        <v>36</v>
      </c>
      <c r="D37" s="376" t="s">
        <v>41</v>
      </c>
    </row>
    <row r="38" spans="1:4">
      <c r="A38" s="7" t="str">
        <f t="shared" si="0"/>
        <v xml:space="preserve">    - Pro Zone die totale Grünfläche (Dauergrünfläche plus Kunstwiesen)  </v>
      </c>
      <c r="B38" t="s">
        <v>6</v>
      </c>
      <c r="C38" s="7" t="s">
        <v>37</v>
      </c>
      <c r="D38" s="376" t="s">
        <v>39</v>
      </c>
    </row>
    <row r="39" spans="1:4">
      <c r="A39" s="7" t="str">
        <f t="shared" si="0"/>
        <v xml:space="preserve">      abzüglich Biodiversitätsförderflächen (BFF) erfassen.</v>
      </c>
      <c r="B39" t="s">
        <v>7</v>
      </c>
      <c r="C39" s="7" t="s">
        <v>38</v>
      </c>
      <c r="D39" s="376" t="s">
        <v>40</v>
      </c>
    </row>
    <row r="40" spans="1:4">
      <c r="A40" s="7" t="str">
        <f t="shared" si="0"/>
        <v xml:space="preserve">    - Pro Zone die totale Biodiversitätsförderfläche erfassen</v>
      </c>
      <c r="B40" t="s">
        <v>313</v>
      </c>
      <c r="C40" s="7" t="s">
        <v>42</v>
      </c>
      <c r="D40" s="376" t="s">
        <v>312</v>
      </c>
    </row>
    <row r="41" spans="1:4">
      <c r="A41" s="7" t="str">
        <f t="shared" si="0"/>
        <v>4. Teil C: Zu- und Wegfuhr Grundfutter erfassen</v>
      </c>
      <c r="B41" t="s">
        <v>20</v>
      </c>
      <c r="C41" s="7" t="s">
        <v>22</v>
      </c>
      <c r="D41" s="376" t="s">
        <v>24</v>
      </c>
    </row>
    <row r="42" spans="1:4">
      <c r="A42" s="7" t="str">
        <f t="shared" si="0"/>
        <v xml:space="preserve">    - Code wählen: Zu-, Verkauf, GF produziert ausserhalb der Futterfläche</v>
      </c>
      <c r="B42" t="s">
        <v>314</v>
      </c>
      <c r="C42" s="7" t="s">
        <v>318</v>
      </c>
      <c r="D42" s="376" t="s">
        <v>322</v>
      </c>
    </row>
    <row r="43" spans="1:4">
      <c r="A43" s="7" t="str">
        <f t="shared" si="0"/>
        <v xml:space="preserve">    - Achtung: Grundfutterbilanz muss ausgeglichen sein: Vergleich von </v>
      </c>
      <c r="B43" t="s">
        <v>315</v>
      </c>
      <c r="C43" s="7" t="s">
        <v>319</v>
      </c>
      <c r="D43" s="376" t="s">
        <v>323</v>
      </c>
    </row>
    <row r="44" spans="1:4">
      <c r="A44" s="7" t="str">
        <f t="shared" si="0"/>
        <v xml:space="preserve">      "B1: Grundfutterproduktion total" und "Total auf der Futterfläche </v>
      </c>
      <c r="B44" t="s">
        <v>316</v>
      </c>
      <c r="C44" s="7" t="s">
        <v>320</v>
      </c>
      <c r="D44" s="376" t="s">
        <v>324</v>
      </c>
    </row>
    <row r="45" spans="1:4">
      <c r="A45" s="7" t="str">
        <f t="shared" si="0"/>
        <v xml:space="preserve">      zu produzierendes Grundfutter (GFprod)"</v>
      </c>
      <c r="B45" t="s">
        <v>317</v>
      </c>
      <c r="C45" s="7" t="s">
        <v>321</v>
      </c>
      <c r="D45" s="376" t="s">
        <v>325</v>
      </c>
    </row>
    <row r="46" spans="1:4">
      <c r="A46" s="7" t="str">
        <f t="shared" si="0"/>
        <v xml:space="preserve">5. Teil D: Bilanz </v>
      </c>
      <c r="B46" t="s">
        <v>21</v>
      </c>
      <c r="C46" s="7" t="s">
        <v>23</v>
      </c>
      <c r="D46" s="376" t="s">
        <v>25</v>
      </c>
    </row>
    <row r="47" spans="1:4">
      <c r="A47" s="7" t="str">
        <f t="shared" si="0"/>
        <v xml:space="preserve">    - Abhängig von der Gebietszuteilung wird angezeigt, </v>
      </c>
      <c r="B47" t="s">
        <v>326</v>
      </c>
      <c r="C47" s="7" t="s">
        <v>330</v>
      </c>
      <c r="D47" s="376" t="s">
        <v>334</v>
      </c>
    </row>
    <row r="48" spans="1:4">
      <c r="A48" s="7" t="str">
        <f t="shared" si="0"/>
        <v xml:space="preserve">      ob die Mindestanteile an der Ration erfüllt sind oder nicht.</v>
      </c>
      <c r="B48" t="s">
        <v>327</v>
      </c>
      <c r="C48" s="7" t="s">
        <v>331</v>
      </c>
      <c r="D48" s="376" t="s">
        <v>335</v>
      </c>
    </row>
    <row r="49" spans="1:4">
      <c r="A49" s="7" t="str">
        <f t="shared" si="0"/>
        <v xml:space="preserve">      Grün=Erfüllt</v>
      </c>
      <c r="B49" t="s">
        <v>328</v>
      </c>
      <c r="C49" s="7" t="s">
        <v>332</v>
      </c>
      <c r="D49" s="376" t="s">
        <v>336</v>
      </c>
    </row>
    <row r="50" spans="1:4">
      <c r="A50" s="7" t="str">
        <f t="shared" si="0"/>
        <v xml:space="preserve">      Rot=Nicht erfüllt</v>
      </c>
      <c r="B50" t="s">
        <v>329</v>
      </c>
      <c r="C50" s="7" t="s">
        <v>333</v>
      </c>
      <c r="D50" s="376" t="s">
        <v>337</v>
      </c>
    </row>
    <row r="51" spans="1:4">
      <c r="A51" s="7" t="str">
        <f t="shared" si="0"/>
        <v>Hinweis:</v>
      </c>
      <c r="B51" t="s">
        <v>781</v>
      </c>
      <c r="C51" s="7" t="s">
        <v>802</v>
      </c>
      <c r="D51" s="376" t="s">
        <v>913</v>
      </c>
    </row>
    <row r="52" spans="1:4" s="75" customFormat="1">
      <c r="A52" s="75" t="str">
        <f t="shared" si="0"/>
        <v xml:space="preserve">Bilanz                                      </v>
      </c>
      <c r="B52" s="75" t="s">
        <v>645</v>
      </c>
      <c r="C52" s="75" t="s">
        <v>494</v>
      </c>
      <c r="D52" s="75" t="s">
        <v>1093</v>
      </c>
    </row>
    <row r="53" spans="1:4">
      <c r="A53" s="7" t="str">
        <f t="shared" si="0"/>
        <v>Futterbilanz für die graslandbasierte</v>
      </c>
      <c r="B53" t="s">
        <v>347</v>
      </c>
      <c r="C53" t="s">
        <v>502</v>
      </c>
      <c r="D53" s="376" t="s">
        <v>914</v>
      </c>
    </row>
    <row r="54" spans="1:4">
      <c r="A54" s="7" t="str">
        <f t="shared" si="0"/>
        <v>Milch- und Fleischproduktion</v>
      </c>
      <c r="B54" t="s">
        <v>348</v>
      </c>
      <c r="C54" t="s">
        <v>503</v>
      </c>
      <c r="D54" s="376" t="s">
        <v>915</v>
      </c>
    </row>
    <row r="55" spans="1:4">
      <c r="A55" s="7" t="str">
        <f t="shared" si="0"/>
        <v>Betriebsnummer</v>
      </c>
      <c r="B55" t="s">
        <v>710</v>
      </c>
      <c r="C55" t="s">
        <v>524</v>
      </c>
      <c r="D55" s="376" t="s">
        <v>916</v>
      </c>
    </row>
    <row r="56" spans="1:4">
      <c r="A56" s="7" t="str">
        <f t="shared" si="0"/>
        <v>Erntejahr</v>
      </c>
      <c r="B56" t="s">
        <v>711</v>
      </c>
      <c r="C56" t="s">
        <v>712</v>
      </c>
      <c r="D56" s="376" t="s">
        <v>917</v>
      </c>
    </row>
    <row r="57" spans="1:4">
      <c r="A57" s="7" t="str">
        <f t="shared" si="0"/>
        <v>Name / Vorname</v>
      </c>
      <c r="B57" t="s">
        <v>713</v>
      </c>
      <c r="C57" t="s">
        <v>803</v>
      </c>
      <c r="D57" s="376" t="s">
        <v>918</v>
      </c>
    </row>
    <row r="58" spans="1:4">
      <c r="A58" s="7" t="str">
        <f t="shared" si="0"/>
        <v>Variante</v>
      </c>
      <c r="B58" t="s">
        <v>555</v>
      </c>
      <c r="C58" t="s">
        <v>555</v>
      </c>
      <c r="D58" s="376" t="s">
        <v>919</v>
      </c>
    </row>
    <row r="59" spans="1:4">
      <c r="A59" s="7" t="str">
        <f t="shared" si="0"/>
        <v>Strasse / Hof</v>
      </c>
      <c r="B59" t="s">
        <v>714</v>
      </c>
      <c r="C59" t="s">
        <v>804</v>
      </c>
      <c r="D59" s="376" t="s">
        <v>920</v>
      </c>
    </row>
    <row r="60" spans="1:4">
      <c r="A60" s="7" t="str">
        <f t="shared" si="0"/>
        <v>Kanton</v>
      </c>
      <c r="B60" t="s">
        <v>718</v>
      </c>
      <c r="C60" t="s">
        <v>719</v>
      </c>
      <c r="D60" s="376" t="s">
        <v>921</v>
      </c>
    </row>
    <row r="61" spans="1:4">
      <c r="A61" s="7" t="str">
        <f t="shared" si="0"/>
        <v>PLZ / Ort</v>
      </c>
      <c r="B61" t="s">
        <v>715</v>
      </c>
      <c r="C61" t="s">
        <v>805</v>
      </c>
      <c r="D61" s="376" t="s">
        <v>922</v>
      </c>
    </row>
    <row r="62" spans="1:4">
      <c r="A62" s="7" t="str">
        <f t="shared" si="0"/>
        <v>Fax / E-Mail</v>
      </c>
      <c r="B62" t="s">
        <v>720</v>
      </c>
      <c r="C62" t="s">
        <v>806</v>
      </c>
      <c r="D62" s="376" t="s">
        <v>923</v>
      </c>
    </row>
    <row r="63" spans="1:4">
      <c r="A63" s="7" t="str">
        <f t="shared" si="0"/>
        <v>Telefon</v>
      </c>
      <c r="B63" t="s">
        <v>716</v>
      </c>
      <c r="C63" t="s">
        <v>717</v>
      </c>
      <c r="D63" s="376" t="s">
        <v>924</v>
      </c>
    </row>
    <row r="64" spans="1:4">
      <c r="A64" s="7" t="str">
        <f t="shared" si="0"/>
        <v>Handy</v>
      </c>
      <c r="B64" t="s">
        <v>671</v>
      </c>
      <c r="C64" t="s">
        <v>807</v>
      </c>
      <c r="D64" s="376" t="s">
        <v>925</v>
      </c>
    </row>
    <row r="65" spans="1:4">
      <c r="A65" s="7" t="str">
        <f t="shared" si="0"/>
        <v>Landw. Nutzfläche</v>
      </c>
      <c r="B65" t="s">
        <v>544</v>
      </c>
      <c r="C65" t="s">
        <v>525</v>
      </c>
      <c r="D65" s="376" t="s">
        <v>1122</v>
      </c>
    </row>
    <row r="66" spans="1:4">
      <c r="A66" s="7" t="str">
        <f t="shared" si="0"/>
        <v>Höhe über Meer</v>
      </c>
      <c r="B66" t="s">
        <v>538</v>
      </c>
      <c r="C66" t="s">
        <v>539</v>
      </c>
      <c r="D66" s="376" t="s">
        <v>926</v>
      </c>
    </row>
    <row r="67" spans="1:4">
      <c r="A67" s="7" t="str">
        <f t="shared" si="0"/>
        <v>Gebietszuteilung</v>
      </c>
      <c r="B67" t="s">
        <v>1170</v>
      </c>
      <c r="C67" s="404" t="s">
        <v>1222</v>
      </c>
      <c r="D67" s="155" t="s">
        <v>1223</v>
      </c>
    </row>
    <row r="68" spans="1:4">
      <c r="A68" s="7" t="str">
        <f t="shared" si="0"/>
        <v>Talgebiet</v>
      </c>
      <c r="B68" t="s">
        <v>793</v>
      </c>
      <c r="C68" s="404" t="s">
        <v>1206</v>
      </c>
      <c r="D68" s="155" t="s">
        <v>1160</v>
      </c>
    </row>
    <row r="69" spans="1:4">
      <c r="A69" s="7" t="str">
        <f t="shared" si="0"/>
        <v>Berggebiet</v>
      </c>
      <c r="B69" t="s">
        <v>794</v>
      </c>
      <c r="C69" s="404" t="s">
        <v>797</v>
      </c>
      <c r="D69" s="155" t="s">
        <v>1159</v>
      </c>
    </row>
    <row r="70" spans="1:4">
      <c r="A70" s="7" t="str">
        <f t="shared" si="0"/>
        <v>Produktionsform</v>
      </c>
      <c r="B70" t="s">
        <v>540</v>
      </c>
      <c r="C70" t="s">
        <v>541</v>
      </c>
      <c r="D70" s="376" t="s">
        <v>933</v>
      </c>
    </row>
    <row r="71" spans="1:4">
      <c r="A71" s="7" t="str">
        <f t="shared" ref="A71:A81" si="1">IF($A$2=1,B71,IF($A$2=2,C71,IF($A$2=3,D71,"")))</f>
        <v>Ökonachweis: nicht erfüllt</v>
      </c>
      <c r="B71" t="s">
        <v>402</v>
      </c>
      <c r="C71" t="s">
        <v>403</v>
      </c>
      <c r="D71" s="376" t="s">
        <v>934</v>
      </c>
    </row>
    <row r="72" spans="1:4">
      <c r="A72" s="7" t="str">
        <f t="shared" si="1"/>
        <v>Ökonachweis: erfüllt</v>
      </c>
      <c r="B72" t="s">
        <v>404</v>
      </c>
      <c r="C72" t="s">
        <v>405</v>
      </c>
      <c r="D72" s="376" t="s">
        <v>935</v>
      </c>
    </row>
    <row r="73" spans="1:4">
      <c r="A73" s="7" t="str">
        <f t="shared" si="1"/>
        <v>Biologischer Landbau</v>
      </c>
      <c r="B73" t="s">
        <v>484</v>
      </c>
      <c r="C73" t="s">
        <v>485</v>
      </c>
      <c r="D73" s="376" t="s">
        <v>936</v>
      </c>
    </row>
    <row r="74" spans="1:4">
      <c r="A74" s="7" t="str">
        <f t="shared" si="1"/>
        <v>Gemeinschaften</v>
      </c>
      <c r="B74" t="s">
        <v>721</v>
      </c>
      <c r="C74" t="s">
        <v>543</v>
      </c>
      <c r="D74" s="376" t="s">
        <v>937</v>
      </c>
    </row>
    <row r="75" spans="1:4">
      <c r="A75" s="7" t="str">
        <f t="shared" si="1"/>
        <v>keine</v>
      </c>
      <c r="B75" t="s">
        <v>522</v>
      </c>
      <c r="C75" t="s">
        <v>523</v>
      </c>
      <c r="D75" s="376" t="s">
        <v>938</v>
      </c>
    </row>
    <row r="76" spans="1:4">
      <c r="A76" s="7" t="str">
        <f t="shared" si="1"/>
        <v>Gemeinschaft / ein Betrieb</v>
      </c>
      <c r="B76" t="s">
        <v>530</v>
      </c>
      <c r="C76" t="s">
        <v>531</v>
      </c>
      <c r="D76" s="376" t="s">
        <v>939</v>
      </c>
    </row>
    <row r="77" spans="1:4">
      <c r="A77" s="7" t="str">
        <f t="shared" si="1"/>
        <v>mit 2 Betrieben</v>
      </c>
      <c r="B77" t="s">
        <v>532</v>
      </c>
      <c r="C77" t="s">
        <v>533</v>
      </c>
      <c r="D77" s="376" t="s">
        <v>940</v>
      </c>
    </row>
    <row r="78" spans="1:4">
      <c r="A78" s="7" t="str">
        <f t="shared" si="1"/>
        <v>mit 3 Betrieben</v>
      </c>
      <c r="B78" t="s">
        <v>534</v>
      </c>
      <c r="C78" t="s">
        <v>370</v>
      </c>
      <c r="D78" s="376" t="s">
        <v>941</v>
      </c>
    </row>
    <row r="79" spans="1:4">
      <c r="A79" s="7" t="str">
        <f t="shared" si="1"/>
        <v>mit 4 Betrieben</v>
      </c>
      <c r="B79" t="s">
        <v>371</v>
      </c>
      <c r="C79" t="s">
        <v>372</v>
      </c>
      <c r="D79" s="376" t="s">
        <v>942</v>
      </c>
    </row>
    <row r="80" spans="1:4">
      <c r="A80" s="7" t="str">
        <f t="shared" si="1"/>
        <v>Berater / Beraterin</v>
      </c>
      <c r="B80" t="s">
        <v>679</v>
      </c>
      <c r="C80" t="s">
        <v>678</v>
      </c>
      <c r="D80" s="376" t="s">
        <v>943</v>
      </c>
    </row>
    <row r="81" spans="1:5">
      <c r="A81" s="7" t="str">
        <f t="shared" si="1"/>
        <v>Bemerkungen</v>
      </c>
      <c r="B81" t="s">
        <v>723</v>
      </c>
      <c r="C81" t="s">
        <v>724</v>
      </c>
      <c r="D81" s="376" t="s">
        <v>944</v>
      </c>
    </row>
    <row r="82" spans="1:5" s="75" customFormat="1">
      <c r="A82" s="75" t="str">
        <f t="shared" ref="A82:A121" si="2">IF($A$2=1,B82,IF($A$2=2,C82,IF($A$2=3,D82,"")))</f>
        <v>Teil A: Grund- und Kraftfutterverzehr (Bedarf)</v>
      </c>
      <c r="B82" s="75" t="s">
        <v>363</v>
      </c>
      <c r="C82" s="75" t="s">
        <v>835</v>
      </c>
      <c r="D82" s="375" t="s">
        <v>945</v>
      </c>
    </row>
    <row r="83" spans="1:5">
      <c r="A83" s="7" t="str">
        <f t="shared" si="2"/>
        <v>Total Kraftfutterverbrauch für Milchkühe auf LN</v>
      </c>
      <c r="B83" t="s">
        <v>823</v>
      </c>
      <c r="C83" t="s">
        <v>824</v>
      </c>
      <c r="D83" s="376" t="s">
        <v>1132</v>
      </c>
      <c r="E83" s="376"/>
    </row>
    <row r="84" spans="1:5">
      <c r="A84" s="7" t="str">
        <f t="shared" si="2"/>
        <v>dt/Jahr</v>
      </c>
      <c r="B84" t="s">
        <v>825</v>
      </c>
      <c r="C84" s="72" t="s">
        <v>826</v>
      </c>
      <c r="D84" s="376" t="s">
        <v>827</v>
      </c>
    </row>
    <row r="85" spans="1:5">
      <c r="A85" s="7" t="str">
        <f t="shared" si="2"/>
        <v xml:space="preserve">Zusatzangaben für Rindviehmast über 160-tägig: </v>
      </c>
      <c r="B85" s="620" t="s">
        <v>1288</v>
      </c>
      <c r="C85" s="618" t="s">
        <v>1292</v>
      </c>
      <c r="D85" s="619" t="s">
        <v>1295</v>
      </c>
      <c r="E85" s="376"/>
    </row>
    <row r="86" spans="1:5">
      <c r="A86" s="7" t="str">
        <f t="shared" si="2"/>
        <v>TZW:</v>
      </c>
      <c r="B86" s="620" t="s">
        <v>1286</v>
      </c>
      <c r="C86" s="618" t="s">
        <v>1293</v>
      </c>
      <c r="D86" s="619" t="s">
        <v>1296</v>
      </c>
    </row>
    <row r="87" spans="1:5">
      <c r="A87" s="7" t="str">
        <f t="shared" si="2"/>
        <v>Ausstall-LG:</v>
      </c>
      <c r="B87" s="620" t="s">
        <v>1287</v>
      </c>
      <c r="C87" s="618" t="s">
        <v>1294</v>
      </c>
      <c r="D87" s="619" t="s">
        <v>1297</v>
      </c>
    </row>
    <row r="88" spans="1:5">
      <c r="A88" s="7" t="str">
        <f t="shared" si="2"/>
        <v>nein</v>
      </c>
      <c r="B88" s="616" t="s">
        <v>488</v>
      </c>
      <c r="C88" s="616" t="s">
        <v>489</v>
      </c>
      <c r="D88" s="617" t="s">
        <v>947</v>
      </c>
    </row>
    <row r="89" spans="1:5">
      <c r="A89" s="7" t="str">
        <f t="shared" si="2"/>
        <v>Tierart bzw. Tierkategorie</v>
      </c>
      <c r="B89" t="s">
        <v>490</v>
      </c>
      <c r="C89" t="s">
        <v>622</v>
      </c>
      <c r="D89" s="376" t="s">
        <v>948</v>
      </c>
    </row>
    <row r="90" spans="1:5">
      <c r="A90" s="7" t="str">
        <f t="shared" si="2"/>
        <v>Einheit</v>
      </c>
      <c r="B90" t="s">
        <v>545</v>
      </c>
      <c r="C90" t="s">
        <v>764</v>
      </c>
      <c r="D90" s="376" t="s">
        <v>949</v>
      </c>
    </row>
    <row r="91" spans="1:5">
      <c r="A91" s="7" t="str">
        <f t="shared" si="2"/>
        <v>Anzahl</v>
      </c>
      <c r="B91" t="s">
        <v>607</v>
      </c>
      <c r="C91" t="s">
        <v>624</v>
      </c>
      <c r="D91" s="376" t="s">
        <v>950</v>
      </c>
    </row>
    <row r="92" spans="1:5">
      <c r="A92" s="7" t="str">
        <f t="shared" si="2"/>
        <v>Abzug /</v>
      </c>
      <c r="B92" t="s">
        <v>601</v>
      </c>
      <c r="C92" t="s">
        <v>602</v>
      </c>
      <c r="D92" s="376" t="s">
        <v>951</v>
      </c>
    </row>
    <row r="93" spans="1:5">
      <c r="A93" s="7" t="str">
        <f t="shared" si="2"/>
        <v>Zuschlag</v>
      </c>
      <c r="B93" t="s">
        <v>603</v>
      </c>
      <c r="C93" t="s">
        <v>604</v>
      </c>
      <c r="D93" s="376" t="s">
        <v>957</v>
      </c>
    </row>
    <row r="94" spans="1:5">
      <c r="A94" s="7" t="str">
        <f t="shared" si="2"/>
        <v>± Tiere</v>
      </c>
      <c r="B94" t="s">
        <v>605</v>
      </c>
      <c r="C94" t="s">
        <v>808</v>
      </c>
      <c r="D94" s="376" t="s">
        <v>1123</v>
      </c>
    </row>
    <row r="95" spans="1:5">
      <c r="A95" s="7" t="str">
        <f t="shared" si="2"/>
        <v>Tage</v>
      </c>
      <c r="B95" t="s">
        <v>606</v>
      </c>
      <c r="C95" t="s">
        <v>654</v>
      </c>
      <c r="D95" s="376" t="s">
        <v>958</v>
      </c>
    </row>
    <row r="96" spans="1:5">
      <c r="A96" s="7" t="str">
        <f t="shared" si="2"/>
        <v>Anzahl</v>
      </c>
      <c r="B96" t="s">
        <v>607</v>
      </c>
      <c r="C96" t="s">
        <v>624</v>
      </c>
      <c r="D96" s="376" t="s">
        <v>950</v>
      </c>
    </row>
    <row r="97" spans="1:4">
      <c r="A97" s="7" t="str">
        <f t="shared" si="2"/>
        <v>korri-</v>
      </c>
      <c r="B97" t="s">
        <v>690</v>
      </c>
      <c r="C97" t="s">
        <v>491</v>
      </c>
      <c r="D97" s="376" t="s">
        <v>959</v>
      </c>
    </row>
    <row r="98" spans="1:4">
      <c r="A98" s="7" t="str">
        <f t="shared" si="2"/>
        <v>giert</v>
      </c>
      <c r="B98" t="s">
        <v>691</v>
      </c>
      <c r="D98" s="155"/>
    </row>
    <row r="99" spans="1:4">
      <c r="A99" s="7" t="str">
        <f t="shared" si="2"/>
        <v>Grundfutter-</v>
      </c>
      <c r="B99" t="s">
        <v>673</v>
      </c>
      <c r="C99" t="s">
        <v>621</v>
      </c>
      <c r="D99" s="376" t="s">
        <v>960</v>
      </c>
    </row>
    <row r="100" spans="1:4">
      <c r="A100" s="7" t="str">
        <f t="shared" si="2"/>
        <v>verzehr</v>
      </c>
      <c r="B100" t="s">
        <v>672</v>
      </c>
      <c r="C100" t="s">
        <v>809</v>
      </c>
      <c r="D100" s="376" t="s">
        <v>961</v>
      </c>
    </row>
    <row r="101" spans="1:4">
      <c r="A101" s="7" t="str">
        <f t="shared" si="2"/>
        <v>pro Jahr</v>
      </c>
      <c r="B101" t="s">
        <v>548</v>
      </c>
      <c r="C101" t="s">
        <v>625</v>
      </c>
      <c r="D101" s="376" t="s">
        <v>962</v>
      </c>
    </row>
    <row r="102" spans="1:4">
      <c r="A102" s="7" t="str">
        <f t="shared" si="2"/>
        <v>dt FS</v>
      </c>
      <c r="B102" t="s">
        <v>588</v>
      </c>
      <c r="C102" t="s">
        <v>589</v>
      </c>
      <c r="D102" s="376" t="s">
        <v>963</v>
      </c>
    </row>
    <row r="103" spans="1:4">
      <c r="A103" s="7" t="str">
        <f t="shared" si="2"/>
        <v>total</v>
      </c>
      <c r="B103" t="s">
        <v>626</v>
      </c>
      <c r="C103" t="s">
        <v>626</v>
      </c>
      <c r="D103" s="376" t="s">
        <v>964</v>
      </c>
    </row>
    <row r="104" spans="1:4">
      <c r="A104" s="7" t="str">
        <f t="shared" si="2"/>
        <v>dt TS</v>
      </c>
      <c r="B104" t="s">
        <v>546</v>
      </c>
      <c r="C104" t="s">
        <v>627</v>
      </c>
      <c r="D104" s="376" t="s">
        <v>965</v>
      </c>
    </row>
    <row r="105" spans="1:4">
      <c r="A105" s="7" t="str">
        <f t="shared" si="2"/>
        <v>Kraftfutter-</v>
      </c>
      <c r="B105" t="s">
        <v>377</v>
      </c>
      <c r="C105" t="s">
        <v>621</v>
      </c>
      <c r="D105" s="376" t="s">
        <v>966</v>
      </c>
    </row>
    <row r="106" spans="1:4">
      <c r="A106" s="7" t="str">
        <f t="shared" si="2"/>
        <v>verzehr</v>
      </c>
      <c r="B106" t="s">
        <v>672</v>
      </c>
      <c r="C106" t="s">
        <v>810</v>
      </c>
      <c r="D106" s="376" t="s">
        <v>1124</v>
      </c>
    </row>
    <row r="107" spans="1:4">
      <c r="A107" s="7" t="str">
        <f t="shared" si="2"/>
        <v>pro Einh.</v>
      </c>
      <c r="B107" t="s">
        <v>521</v>
      </c>
      <c r="C107" t="s">
        <v>623</v>
      </c>
      <c r="D107" s="376" t="s">
        <v>967</v>
      </c>
    </row>
    <row r="108" spans="1:4">
      <c r="A108" s="7" t="str">
        <f t="shared" si="2"/>
        <v>kg FS</v>
      </c>
      <c r="B108" t="s">
        <v>358</v>
      </c>
      <c r="C108" s="7" t="s">
        <v>811</v>
      </c>
      <c r="D108" s="376" t="s">
        <v>968</v>
      </c>
    </row>
    <row r="109" spans="1:4">
      <c r="A109" s="7" t="str">
        <f t="shared" si="2"/>
        <v>dt</v>
      </c>
      <c r="B109" t="s">
        <v>765</v>
      </c>
      <c r="C109" t="s">
        <v>765</v>
      </c>
      <c r="D109" s="376" t="s">
        <v>969</v>
      </c>
    </row>
    <row r="110" spans="1:4">
      <c r="A110" s="7" t="str">
        <f t="shared" si="2"/>
        <v>Sömmerung</v>
      </c>
      <c r="B110" t="s">
        <v>409</v>
      </c>
      <c r="C110" s="404" t="s">
        <v>410</v>
      </c>
      <c r="D110" s="155" t="s">
        <v>411</v>
      </c>
    </row>
    <row r="111" spans="1:4">
      <c r="A111" s="7" t="str">
        <f t="shared" si="2"/>
        <v>Anzahl</v>
      </c>
      <c r="B111" t="s">
        <v>607</v>
      </c>
      <c r="C111" s="404" t="s">
        <v>624</v>
      </c>
      <c r="D111" s="376" t="s">
        <v>950</v>
      </c>
    </row>
    <row r="112" spans="1:4">
      <c r="A112" s="7" t="str">
        <f t="shared" si="2"/>
        <v>Tiere</v>
      </c>
      <c r="B112" t="s">
        <v>406</v>
      </c>
      <c r="C112" s="404" t="s">
        <v>407</v>
      </c>
      <c r="D112" s="376" t="s">
        <v>408</v>
      </c>
    </row>
    <row r="113" spans="1:5">
      <c r="A113" s="7" t="str">
        <f t="shared" si="2"/>
        <v>Anzahl</v>
      </c>
      <c r="B113" t="s">
        <v>607</v>
      </c>
      <c r="C113" s="404" t="s">
        <v>624</v>
      </c>
      <c r="D113" s="376" t="s">
        <v>950</v>
      </c>
    </row>
    <row r="114" spans="1:5">
      <c r="A114" s="7" t="str">
        <f t="shared" si="2"/>
        <v>Tage</v>
      </c>
      <c r="B114" t="s">
        <v>606</v>
      </c>
      <c r="C114" s="404" t="s">
        <v>654</v>
      </c>
      <c r="D114" s="376" t="s">
        <v>958</v>
      </c>
    </row>
    <row r="115" spans="1:5">
      <c r="A115" s="7" t="str">
        <f>IF($A$2=1,B115,IF($A$2=2,C115,IF($A$2=3,D115,"")))</f>
        <v>Sömmerungs-</v>
      </c>
      <c r="B115" s="7" t="s">
        <v>418</v>
      </c>
      <c r="C115" s="404" t="s">
        <v>419</v>
      </c>
      <c r="D115" s="7" t="s">
        <v>1176</v>
      </c>
    </row>
    <row r="116" spans="1:5">
      <c r="A116" s="7" t="str">
        <f>IF($A$2=1,B116,IF($A$2=2,C116,IF($A$2=3,D116,"")))</f>
        <v>tage total</v>
      </c>
      <c r="B116" s="7" t="s">
        <v>420</v>
      </c>
      <c r="C116" s="404" t="s">
        <v>626</v>
      </c>
      <c r="D116" s="376" t="s">
        <v>1177</v>
      </c>
    </row>
    <row r="117" spans="1:5">
      <c r="A117" s="7" t="str">
        <f t="shared" si="2"/>
        <v>GF-Verzehr</v>
      </c>
      <c r="B117" t="s">
        <v>421</v>
      </c>
      <c r="C117" s="404" t="s">
        <v>422</v>
      </c>
      <c r="D117" s="155" t="s">
        <v>423</v>
      </c>
    </row>
    <row r="118" spans="1:5">
      <c r="A118" s="7" t="str">
        <f t="shared" si="2"/>
        <v>Kraftfutter</v>
      </c>
      <c r="B118" t="s">
        <v>620</v>
      </c>
      <c r="C118" s="404" t="s">
        <v>424</v>
      </c>
      <c r="D118" s="155" t="s">
        <v>1124</v>
      </c>
    </row>
    <row r="119" spans="1:5">
      <c r="A119" s="7" t="str">
        <f>IF($A$2=1,B119,IF($A$2=2,C119,IF($A$2=3,D119,"")))</f>
        <v>dt TS total</v>
      </c>
      <c r="B119" s="7" t="s">
        <v>415</v>
      </c>
      <c r="C119" s="404" t="s">
        <v>416</v>
      </c>
      <c r="D119" s="376" t="s">
        <v>417</v>
      </c>
    </row>
    <row r="120" spans="1:5">
      <c r="A120" s="7" t="str">
        <f>IF($A$2=1,B120,IF($A$2=2,C120,IF($A$2=3,D120,"")))</f>
        <v>dt FS total</v>
      </c>
      <c r="B120" s="7" t="s">
        <v>412</v>
      </c>
      <c r="C120" t="s">
        <v>413</v>
      </c>
      <c r="D120" s="376" t="s">
        <v>414</v>
      </c>
    </row>
    <row r="121" spans="1:5">
      <c r="A121" s="7" t="str">
        <f t="shared" si="2"/>
        <v>Raufutterverzehrer mit Kraftfutter</v>
      </c>
      <c r="B121" t="s">
        <v>730</v>
      </c>
      <c r="C121" t="s">
        <v>812</v>
      </c>
      <c r="D121" s="376" t="s">
        <v>970</v>
      </c>
      <c r="E121" s="376"/>
    </row>
    <row r="122" spans="1:5">
      <c r="A122" s="7" t="str">
        <f t="shared" ref="A122:A161" si="3">IF($A$2=1,B122,IF($A$2=2,C122,IF($A$2=3,D122,"")))</f>
        <v>Rindvieh</v>
      </c>
      <c r="B122" t="s">
        <v>772</v>
      </c>
      <c r="C122" t="s">
        <v>813</v>
      </c>
      <c r="D122" s="376" t="s">
        <v>971</v>
      </c>
    </row>
    <row r="123" spans="1:5">
      <c r="A123" s="7" t="str">
        <f t="shared" si="3"/>
        <v>Ø Milchprod. kg/Jahr</v>
      </c>
      <c r="B123" s="418" t="s">
        <v>43</v>
      </c>
      <c r="C123" s="418" t="s">
        <v>44</v>
      </c>
      <c r="D123" s="418" t="s">
        <v>45</v>
      </c>
    </row>
    <row r="124" spans="1:5">
      <c r="A124" s="7" t="str">
        <f t="shared" si="3"/>
        <v>Milchkühe</v>
      </c>
      <c r="B124" t="s">
        <v>693</v>
      </c>
      <c r="C124" t="s">
        <v>814</v>
      </c>
      <c r="D124" s="376" t="s">
        <v>972</v>
      </c>
    </row>
    <row r="125" spans="1:5">
      <c r="A125" s="7" t="str">
        <f t="shared" si="3"/>
        <v>andere Kühe</v>
      </c>
      <c r="B125" t="s">
        <v>373</v>
      </c>
      <c r="C125" t="s">
        <v>815</v>
      </c>
      <c r="D125" s="376" t="s">
        <v>973</v>
      </c>
    </row>
    <row r="126" spans="1:5">
      <c r="A126" s="7" t="str">
        <f t="shared" si="3"/>
        <v>Ausmastkuh</v>
      </c>
      <c r="B126" t="s">
        <v>113</v>
      </c>
      <c r="C126" t="s">
        <v>115</v>
      </c>
      <c r="D126" s="376" t="s">
        <v>116</v>
      </c>
    </row>
    <row r="127" spans="1:5">
      <c r="A127" s="7" t="str">
        <f t="shared" si="3"/>
        <v>Galtkuh</v>
      </c>
      <c r="B127" t="s">
        <v>114</v>
      </c>
      <c r="C127" t="s">
        <v>117</v>
      </c>
      <c r="D127" s="376" t="s">
        <v>118</v>
      </c>
    </row>
    <row r="128" spans="1:5">
      <c r="A128" s="7" t="str">
        <f t="shared" si="3"/>
        <v>arbeitsteiliger Produktion</v>
      </c>
      <c r="B128" t="s">
        <v>145</v>
      </c>
      <c r="C128" t="s">
        <v>146</v>
      </c>
      <c r="D128" s="376" t="s">
        <v>144</v>
      </c>
    </row>
    <row r="129" spans="1:4">
      <c r="A129" s="7" t="str">
        <f t="shared" si="3"/>
        <v>Mutterkühe schwer (LG 700-800 kg)</v>
      </c>
      <c r="B129" t="s">
        <v>1254</v>
      </c>
      <c r="C129" t="s">
        <v>1256</v>
      </c>
      <c r="D129" s="376" t="s">
        <v>1257</v>
      </c>
    </row>
    <row r="130" spans="1:4">
      <c r="A130" s="7" t="str">
        <f t="shared" si="3"/>
        <v>Mutterkühe mittel (LG 600-700 kg)</v>
      </c>
      <c r="B130" t="s">
        <v>1253</v>
      </c>
      <c r="C130" t="s">
        <v>1255</v>
      </c>
      <c r="D130" s="376" t="s">
        <v>1258</v>
      </c>
    </row>
    <row r="131" spans="1:4">
      <c r="A131" s="7" t="str">
        <f t="shared" si="3"/>
        <v>Mutterkühe leicht (LG bis 600 kg)</v>
      </c>
      <c r="B131" t="s">
        <v>1382</v>
      </c>
      <c r="C131" t="s">
        <v>1383</v>
      </c>
      <c r="D131" s="376" t="s">
        <v>1384</v>
      </c>
    </row>
    <row r="132" spans="1:4">
      <c r="A132" s="7" t="str">
        <f t="shared" si="3"/>
        <v>Jungvieh, bis 160 Tage alt</v>
      </c>
      <c r="B132" t="s">
        <v>1380</v>
      </c>
      <c r="C132" t="s">
        <v>1396</v>
      </c>
      <c r="D132" s="376" t="s">
        <v>1381</v>
      </c>
    </row>
    <row r="133" spans="1:4">
      <c r="A133" s="7" t="str">
        <f t="shared" si="3"/>
        <v>Jungvieh, 160-365 Tage alt</v>
      </c>
      <c r="B133" t="s">
        <v>119</v>
      </c>
      <c r="C133" t="s">
        <v>120</v>
      </c>
      <c r="D133" s="376" t="s">
        <v>121</v>
      </c>
    </row>
    <row r="134" spans="1:4">
      <c r="A134" s="7" t="str">
        <f t="shared" si="3"/>
        <v>Jungvieh, 1 bis 2-jährig</v>
      </c>
      <c r="B134" t="s">
        <v>547</v>
      </c>
      <c r="C134" t="s">
        <v>816</v>
      </c>
      <c r="D134" s="376" t="s">
        <v>974</v>
      </c>
    </row>
    <row r="135" spans="1:4">
      <c r="A135" s="7" t="str">
        <f t="shared" si="3"/>
        <v>Jungvieh &gt;2-jährig</v>
      </c>
      <c r="B135" s="618" t="s">
        <v>1289</v>
      </c>
      <c r="C135" s="618" t="s">
        <v>1290</v>
      </c>
      <c r="D135" s="619" t="s">
        <v>1291</v>
      </c>
    </row>
    <row r="136" spans="1:4">
      <c r="A136" s="7" t="str">
        <f t="shared" si="3"/>
        <v>Mastkälber (50-200 kg)</v>
      </c>
      <c r="B136" t="s">
        <v>682</v>
      </c>
      <c r="C136" t="s">
        <v>817</v>
      </c>
      <c r="D136" s="376" t="s">
        <v>975</v>
      </c>
    </row>
    <row r="137" spans="1:4">
      <c r="A137" s="7" t="str">
        <f t="shared" si="3"/>
        <v>Mutterkuhkalb, bis 160 Tage alt</v>
      </c>
      <c r="B137" s="620" t="s">
        <v>1298</v>
      </c>
      <c r="C137" s="620" t="s">
        <v>1302</v>
      </c>
      <c r="D137" s="619" t="s">
        <v>1386</v>
      </c>
    </row>
    <row r="138" spans="1:4">
      <c r="A138" s="7" t="str">
        <f t="shared" si="3"/>
        <v>Mutterkuhkalb, &gt; 160 d, leicht (&lt;200 kg SG)</v>
      </c>
      <c r="B138" s="620" t="s">
        <v>1308</v>
      </c>
      <c r="C138" s="620" t="s">
        <v>1299</v>
      </c>
      <c r="D138" s="619" t="s">
        <v>1311</v>
      </c>
    </row>
    <row r="139" spans="1:4">
      <c r="A139" s="7" t="str">
        <f t="shared" si="3"/>
        <v>Mutterkuhkalb, &gt; 160 d, mittel (200-250 kg SG)</v>
      </c>
      <c r="B139" s="620" t="s">
        <v>1309</v>
      </c>
      <c r="C139" s="620" t="s">
        <v>1301</v>
      </c>
      <c r="D139" s="619" t="s">
        <v>1387</v>
      </c>
    </row>
    <row r="140" spans="1:4">
      <c r="A140" s="7" t="str">
        <f t="shared" si="3"/>
        <v>Mutterkuhkalb, &gt; 160 d, schwer (&gt;250 kg SG)</v>
      </c>
      <c r="B140" s="620" t="s">
        <v>1310</v>
      </c>
      <c r="C140" s="620" t="s">
        <v>1300</v>
      </c>
      <c r="D140" s="619" t="s">
        <v>1312</v>
      </c>
    </row>
    <row r="141" spans="1:4">
      <c r="A141" s="7" t="str">
        <f t="shared" si="3"/>
        <v>Rindviehmast, bis 160 Tage alt</v>
      </c>
      <c r="B141" s="620" t="s">
        <v>1303</v>
      </c>
      <c r="C141" s="620" t="s">
        <v>1305</v>
      </c>
      <c r="D141" s="619" t="s">
        <v>1385</v>
      </c>
    </row>
    <row r="142" spans="1:4">
      <c r="A142" s="7" t="str">
        <f t="shared" si="3"/>
        <v>Rindviehmast, &gt; 160 Tage alt</v>
      </c>
      <c r="B142" s="620" t="s">
        <v>1304</v>
      </c>
      <c r="C142" s="620" t="s">
        <v>1306</v>
      </c>
      <c r="D142" s="619" t="s">
        <v>1307</v>
      </c>
    </row>
    <row r="143" spans="1:4">
      <c r="A143" s="7" t="str">
        <f t="shared" si="3"/>
        <v>Rindviehmast Weidemast &gt; 4 Monate</v>
      </c>
      <c r="B143" t="s">
        <v>82</v>
      </c>
      <c r="C143" t="s">
        <v>83</v>
      </c>
      <c r="D143" s="376" t="s">
        <v>84</v>
      </c>
    </row>
    <row r="144" spans="1:4">
      <c r="A144" s="7" t="str">
        <f t="shared" si="3"/>
        <v>Zuchtstier</v>
      </c>
      <c r="B144" t="s">
        <v>629</v>
      </c>
      <c r="C144" t="s">
        <v>574</v>
      </c>
      <c r="D144" s="376" t="s">
        <v>979</v>
      </c>
    </row>
    <row r="145" spans="1:4">
      <c r="A145" s="7" t="str">
        <f t="shared" si="3"/>
        <v>Raufutterverzehrer ohne Kraftfutter (gem. GMF)</v>
      </c>
      <c r="B145" t="s">
        <v>731</v>
      </c>
      <c r="C145" t="s">
        <v>818</v>
      </c>
      <c r="D145" s="376" t="s">
        <v>980</v>
      </c>
    </row>
    <row r="146" spans="1:4">
      <c r="A146" s="7" t="str">
        <f t="shared" si="3"/>
        <v>weitere Raufutterverzehrende Tiere</v>
      </c>
      <c r="B146" t="s">
        <v>771</v>
      </c>
      <c r="C146" t="s">
        <v>819</v>
      </c>
      <c r="D146" s="376" t="s">
        <v>981</v>
      </c>
    </row>
    <row r="147" spans="1:4">
      <c r="A147" s="7" t="str">
        <f t="shared" si="3"/>
        <v>Pferde bis 180 d, &gt; 148 cm*</v>
      </c>
      <c r="B147" s="7" t="s">
        <v>1388</v>
      </c>
      <c r="C147" t="s">
        <v>1389</v>
      </c>
      <c r="D147" s="376" t="s">
        <v>1390</v>
      </c>
    </row>
    <row r="148" spans="1:4">
      <c r="A148" s="7" t="str">
        <f t="shared" si="3"/>
        <v>Pferde &gt; 180 d, &gt; 148 cm*</v>
      </c>
      <c r="B148" s="7" t="s">
        <v>457</v>
      </c>
      <c r="C148" t="s">
        <v>450</v>
      </c>
      <c r="D148" s="376" t="s">
        <v>453</v>
      </c>
    </row>
    <row r="149" spans="1:4">
      <c r="A149" s="7" t="str">
        <f t="shared" si="3"/>
        <v>Maultiere, Maulesel bis 180 d, unabh. Widerristhöhe</v>
      </c>
      <c r="B149" s="7" t="s">
        <v>1391</v>
      </c>
      <c r="C149" t="s">
        <v>1392</v>
      </c>
      <c r="D149" s="376" t="s">
        <v>1393</v>
      </c>
    </row>
    <row r="150" spans="1:4">
      <c r="A150" s="7" t="str">
        <f t="shared" si="3"/>
        <v>Maultiere, Maulesel &gt; 180 d, unabh. Widerristhöhe</v>
      </c>
      <c r="B150" s="7" t="s">
        <v>456</v>
      </c>
      <c r="C150" t="s">
        <v>451</v>
      </c>
      <c r="D150" s="376" t="s">
        <v>454</v>
      </c>
    </row>
    <row r="151" spans="1:4">
      <c r="A151" s="7" t="str">
        <f t="shared" si="3"/>
        <v>Ponys**, Kleinpferde und Esel, jeden Alters, &lt; 148 cm</v>
      </c>
      <c r="B151" s="7" t="s">
        <v>458</v>
      </c>
      <c r="C151" t="s">
        <v>452</v>
      </c>
      <c r="D151" s="376" t="s">
        <v>455</v>
      </c>
    </row>
    <row r="152" spans="1:4">
      <c r="A152" s="7" t="str">
        <f t="shared" si="3"/>
        <v xml:space="preserve">Milchschaf </v>
      </c>
      <c r="B152" s="640" t="s">
        <v>1427</v>
      </c>
      <c r="C152" s="640" t="s">
        <v>1428</v>
      </c>
      <c r="D152" s="639" t="s">
        <v>1429</v>
      </c>
    </row>
    <row r="153" spans="1:4">
      <c r="A153" s="7" t="str">
        <f t="shared" si="3"/>
        <v>Andere Schafe über 365 d</v>
      </c>
      <c r="B153" s="638" t="s">
        <v>1401</v>
      </c>
      <c r="C153" s="638" t="s">
        <v>1409</v>
      </c>
      <c r="D153" s="639" t="s">
        <v>1417</v>
      </c>
    </row>
    <row r="154" spans="1:4">
      <c r="A154" s="7" t="str">
        <f t="shared" si="3"/>
        <v>Jungschafe über 180 bis 365 d</v>
      </c>
      <c r="B154" s="638" t="s">
        <v>1408</v>
      </c>
      <c r="C154" s="638" t="s">
        <v>1410</v>
      </c>
      <c r="D154" s="639" t="s">
        <v>1418</v>
      </c>
    </row>
    <row r="155" spans="1:4">
      <c r="A155" s="7" t="str">
        <f t="shared" si="3"/>
        <v>Lamm bis 180 d</v>
      </c>
      <c r="B155" s="638" t="s">
        <v>1402</v>
      </c>
      <c r="C155" s="638" t="s">
        <v>1411</v>
      </c>
      <c r="D155" s="639" t="s">
        <v>1419</v>
      </c>
    </row>
    <row r="156" spans="1:4">
      <c r="A156" s="7" t="str">
        <f t="shared" si="3"/>
        <v>Milchziege</v>
      </c>
      <c r="B156" s="638" t="s">
        <v>1403</v>
      </c>
      <c r="C156" s="638" t="s">
        <v>1412</v>
      </c>
      <c r="D156" s="639" t="s">
        <v>1420</v>
      </c>
    </row>
    <row r="157" spans="1:4">
      <c r="A157" s="7" t="str">
        <f t="shared" si="3"/>
        <v>Andere Ziegen über 365 d</v>
      </c>
      <c r="B157" s="638" t="s">
        <v>1404</v>
      </c>
      <c r="C157" s="638" t="s">
        <v>1413</v>
      </c>
      <c r="D157" s="639" t="s">
        <v>1421</v>
      </c>
    </row>
    <row r="158" spans="1:4">
      <c r="A158" s="7" t="str">
        <f t="shared" si="3"/>
        <v>Jungziegen über 180 bis 365 d</v>
      </c>
      <c r="B158" s="638" t="s">
        <v>1405</v>
      </c>
      <c r="C158" s="638" t="s">
        <v>1414</v>
      </c>
      <c r="D158" s="639" t="s">
        <v>1422</v>
      </c>
    </row>
    <row r="159" spans="1:4">
      <c r="A159" s="7" t="str">
        <f t="shared" si="3"/>
        <v>Zicklein bis 180 d (Milchziegenherde)</v>
      </c>
      <c r="B159" s="638" t="s">
        <v>1406</v>
      </c>
      <c r="C159" s="638" t="s">
        <v>1415</v>
      </c>
      <c r="D159" s="639" t="s">
        <v>1423</v>
      </c>
    </row>
    <row r="160" spans="1:4">
      <c r="A160" s="7" t="str">
        <f t="shared" si="3"/>
        <v>Zicklein bis 180 d (Mutterziegenherde)</v>
      </c>
      <c r="B160" s="638" t="s">
        <v>1407</v>
      </c>
      <c r="C160" s="638" t="s">
        <v>1416</v>
      </c>
      <c r="D160" s="639" t="s">
        <v>1424</v>
      </c>
    </row>
    <row r="161" spans="1:4">
      <c r="A161" s="7" t="str">
        <f t="shared" si="3"/>
        <v>Damhirsche inkl. Jungtiere, 1 Einheit=2 Tiere</v>
      </c>
      <c r="B161" t="s">
        <v>632</v>
      </c>
      <c r="C161" s="7" t="s">
        <v>870</v>
      </c>
      <c r="D161" s="376" t="s">
        <v>982</v>
      </c>
    </row>
    <row r="162" spans="1:4">
      <c r="A162" s="7" t="str">
        <f t="shared" ref="A162:A200" si="4">IF($A$2=1,B162,IF($A$2=2,C162,IF($A$2=3,D162,"")))</f>
        <v>Rothirsche inkl. Jungtiere, 1 Einheit=2 Tiere</v>
      </c>
      <c r="B162" t="s">
        <v>630</v>
      </c>
      <c r="C162" s="7" t="s">
        <v>871</v>
      </c>
      <c r="D162" s="376" t="s">
        <v>992</v>
      </c>
    </row>
    <row r="163" spans="1:4">
      <c r="A163" s="7" t="str">
        <f t="shared" si="4"/>
        <v>Wapiti inkl. Jungtiere, 1 Einheit=2 Tiere</v>
      </c>
      <c r="B163" t="s">
        <v>631</v>
      </c>
      <c r="C163" s="7" t="s">
        <v>873</v>
      </c>
      <c r="D163" s="376" t="s">
        <v>993</v>
      </c>
    </row>
    <row r="164" spans="1:4">
      <c r="A164" s="7" t="str">
        <f t="shared" si="4"/>
        <v>Bisons über 900 d</v>
      </c>
      <c r="B164" s="7" t="s">
        <v>459</v>
      </c>
      <c r="C164" s="7" t="s">
        <v>461</v>
      </c>
      <c r="D164" s="376" t="s">
        <v>462</v>
      </c>
    </row>
    <row r="165" spans="1:4">
      <c r="A165" s="7" t="str">
        <f t="shared" si="4"/>
        <v>Bisons bis 900 d</v>
      </c>
      <c r="B165" s="7" t="s">
        <v>460</v>
      </c>
      <c r="C165" s="7" t="s">
        <v>1399</v>
      </c>
      <c r="D165" s="376" t="s">
        <v>463</v>
      </c>
    </row>
    <row r="166" spans="1:4">
      <c r="A166" s="7" t="str">
        <f t="shared" si="4"/>
        <v>Lamas über 2-jährig</v>
      </c>
      <c r="B166" t="s">
        <v>683</v>
      </c>
      <c r="C166" t="s">
        <v>688</v>
      </c>
      <c r="D166" s="376" t="s">
        <v>994</v>
      </c>
    </row>
    <row r="167" spans="1:4">
      <c r="A167" s="7" t="str">
        <f t="shared" si="4"/>
        <v>Lamas unter 2-jährig</v>
      </c>
      <c r="B167" t="s">
        <v>684</v>
      </c>
      <c r="C167" t="s">
        <v>1397</v>
      </c>
      <c r="D167" s="376" t="s">
        <v>995</v>
      </c>
    </row>
    <row r="168" spans="1:4">
      <c r="A168" s="7" t="str">
        <f t="shared" si="4"/>
        <v>Alpakas über 2-jährig</v>
      </c>
      <c r="B168" t="s">
        <v>685</v>
      </c>
      <c r="C168" t="s">
        <v>689</v>
      </c>
      <c r="D168" s="376" t="s">
        <v>996</v>
      </c>
    </row>
    <row r="169" spans="1:4">
      <c r="A169" s="7" t="str">
        <f t="shared" si="4"/>
        <v>Alpakas unter 2-jährig</v>
      </c>
      <c r="B169" t="s">
        <v>686</v>
      </c>
      <c r="C169" t="s">
        <v>1398</v>
      </c>
      <c r="D169" s="376" t="s">
        <v>997</v>
      </c>
    </row>
    <row r="170" spans="1:4">
      <c r="A170" s="7" t="str">
        <f t="shared" si="4"/>
        <v>übrige Tierkategorien mit GF-Verzehr</v>
      </c>
      <c r="B170" t="s">
        <v>732</v>
      </c>
      <c r="C170" t="s">
        <v>829</v>
      </c>
      <c r="D170" s="376" t="s">
        <v>998</v>
      </c>
    </row>
    <row r="171" spans="1:4">
      <c r="A171" s="7" t="str">
        <f t="shared" si="4"/>
        <v>davon Wiesen-</v>
      </c>
      <c r="B171" t="s">
        <v>1249</v>
      </c>
      <c r="C171" t="s">
        <v>35</v>
      </c>
      <c r="D171" s="376" t="s">
        <v>1133</v>
      </c>
    </row>
    <row r="172" spans="1:4">
      <c r="A172" s="7" t="str">
        <f t="shared" si="4"/>
        <v>&amp; Weidefutter</v>
      </c>
      <c r="B172" t="s">
        <v>1250</v>
      </c>
      <c r="C172" t="s">
        <v>768</v>
      </c>
      <c r="D172" s="376" t="s">
        <v>1134</v>
      </c>
    </row>
    <row r="173" spans="1:4">
      <c r="A173" s="7" t="str">
        <f t="shared" si="4"/>
        <v>Kaninchen, Zibben inkl. Jungtiere bis 35 d</v>
      </c>
      <c r="B173" t="s">
        <v>874</v>
      </c>
      <c r="C173" t="s">
        <v>577</v>
      </c>
      <c r="D173" s="376" t="s">
        <v>1125</v>
      </c>
    </row>
    <row r="174" spans="1:4">
      <c r="A174" s="7" t="str">
        <f t="shared" si="4"/>
        <v>Kaninchen, Jungtiere ab ca 35 Tagen</v>
      </c>
      <c r="B174" t="s">
        <v>875</v>
      </c>
      <c r="C174" s="7" t="s">
        <v>876</v>
      </c>
      <c r="D174" s="376" t="s">
        <v>1126</v>
      </c>
    </row>
    <row r="175" spans="1:4">
      <c r="A175" s="7" t="str">
        <f t="shared" si="4"/>
        <v>Strausse &gt; 13 Monate</v>
      </c>
      <c r="B175" t="s">
        <v>378</v>
      </c>
      <c r="C175" t="s">
        <v>560</v>
      </c>
      <c r="D175" s="376" t="s">
        <v>999</v>
      </c>
    </row>
    <row r="176" spans="1:4">
      <c r="A176" s="7" t="str">
        <f t="shared" si="4"/>
        <v>Strausse bis 13 Monate</v>
      </c>
      <c r="B176" t="s">
        <v>1394</v>
      </c>
      <c r="C176" t="s">
        <v>561</v>
      </c>
      <c r="D176" s="376" t="s">
        <v>1395</v>
      </c>
    </row>
    <row r="177" spans="1:256">
      <c r="A177" s="7" t="str">
        <f t="shared" si="4"/>
        <v>Mastschweineplatz / Remonten (26-108 kg)</v>
      </c>
      <c r="B177" t="s">
        <v>122</v>
      </c>
      <c r="C177" t="s">
        <v>123</v>
      </c>
      <c r="D177" s="376" t="s">
        <v>124</v>
      </c>
    </row>
    <row r="178" spans="1:256">
      <c r="A178" s="7" t="str">
        <f t="shared" si="4"/>
        <v>Mastschweine / Remonten (26-108 kg)</v>
      </c>
      <c r="B178" t="s">
        <v>125</v>
      </c>
      <c r="C178" t="s">
        <v>126</v>
      </c>
      <c r="D178" s="376" t="s">
        <v>127</v>
      </c>
    </row>
    <row r="179" spans="1:256">
      <c r="A179" s="7" t="str">
        <f t="shared" si="4"/>
        <v>Zuchtschweine inkl. Ferkel bis 26 kg</v>
      </c>
      <c r="B179" t="s">
        <v>128</v>
      </c>
      <c r="C179" t="s">
        <v>129</v>
      </c>
      <c r="D179" s="376" t="s">
        <v>132</v>
      </c>
    </row>
    <row r="180" spans="1:256">
      <c r="A180" s="7" t="str">
        <f t="shared" si="4"/>
        <v>Galtsauenplatz, 2.94 Umtriebe</v>
      </c>
      <c r="B180" t="s">
        <v>139</v>
      </c>
      <c r="C180" t="s">
        <v>140</v>
      </c>
      <c r="D180" s="376" t="s">
        <v>141</v>
      </c>
    </row>
    <row r="181" spans="1:256">
      <c r="A181" s="7" t="str">
        <f t="shared" si="4"/>
        <v>Galtsauen, pro Umtrieb</v>
      </c>
      <c r="B181" t="s">
        <v>633</v>
      </c>
      <c r="C181" t="s">
        <v>575</v>
      </c>
      <c r="D181" s="376" t="s">
        <v>1008</v>
      </c>
    </row>
    <row r="182" spans="1:256">
      <c r="A182" s="7" t="str">
        <f t="shared" si="4"/>
        <v>Zuchtschweine, säugend, 9.86 Umtriebe</v>
      </c>
      <c r="B182" t="s">
        <v>136</v>
      </c>
      <c r="C182" t="s">
        <v>142</v>
      </c>
      <c r="D182" s="376" t="s">
        <v>137</v>
      </c>
    </row>
    <row r="183" spans="1:256">
      <c r="A183" s="7" t="str">
        <f t="shared" si="4"/>
        <v>Zuchtschweine, säugend, pro Umtrieb</v>
      </c>
      <c r="B183" t="s">
        <v>634</v>
      </c>
      <c r="C183" t="s">
        <v>143</v>
      </c>
      <c r="D183" s="376" t="s">
        <v>1009</v>
      </c>
    </row>
    <row r="184" spans="1:256">
      <c r="A184" s="7" t="str">
        <f t="shared" si="4"/>
        <v>Zuchteber</v>
      </c>
      <c r="B184" t="s">
        <v>655</v>
      </c>
      <c r="C184" t="s">
        <v>576</v>
      </c>
      <c r="D184" s="376" t="s">
        <v>1010</v>
      </c>
    </row>
    <row r="185" spans="1:256">
      <c r="A185" s="7" t="str">
        <f t="shared" si="4"/>
        <v>Ferkel abgesetzt, 8-26 kg, 9.61 Umtriebe</v>
      </c>
      <c r="B185" t="s">
        <v>130</v>
      </c>
      <c r="C185" t="s">
        <v>131</v>
      </c>
      <c r="D185" s="376" t="s">
        <v>138</v>
      </c>
    </row>
    <row r="186" spans="1:256">
      <c r="A186" s="7" t="str">
        <f t="shared" si="4"/>
        <v>Ferkel abgesetzt, 8-26 kg</v>
      </c>
      <c r="B186" t="s">
        <v>133</v>
      </c>
      <c r="C186" t="s">
        <v>134</v>
      </c>
      <c r="D186" s="376" t="s">
        <v>135</v>
      </c>
    </row>
    <row r="187" spans="1:256">
      <c r="A187" s="7" t="str">
        <f t="shared" si="4"/>
        <v>Nachweis nötig!</v>
      </c>
      <c r="B187" t="s">
        <v>374</v>
      </c>
      <c r="C187" t="s">
        <v>820</v>
      </c>
      <c r="D187" s="376" t="s">
        <v>1011</v>
      </c>
    </row>
    <row r="188" spans="1:256">
      <c r="A188" s="7" t="str">
        <f t="shared" si="4"/>
        <v>GF-Verzehr zu hoch!</v>
      </c>
      <c r="B188" t="s">
        <v>733</v>
      </c>
      <c r="C188" s="404" t="s">
        <v>821</v>
      </c>
      <c r="D188" s="376" t="s">
        <v>1012</v>
      </c>
    </row>
    <row r="189" spans="1:256">
      <c r="A189" s="7" t="str">
        <f t="shared" si="4"/>
        <v>Total Wiesen- &amp; Weidefutter &gt; Grundfutterverzehr</v>
      </c>
      <c r="B189" t="s">
        <v>219</v>
      </c>
      <c r="C189" s="404" t="s">
        <v>220</v>
      </c>
      <c r="D189" s="155" t="s">
        <v>1135</v>
      </c>
    </row>
    <row r="190" spans="1:256">
      <c r="A190" s="7" t="str">
        <f t="shared" si="4"/>
        <v>KF-Menge Sömmerung über zulässiger Menge</v>
      </c>
      <c r="B190" t="s">
        <v>449</v>
      </c>
      <c r="C190" s="7" t="s">
        <v>165</v>
      </c>
      <c r="D190" s="376" t="s">
        <v>165</v>
      </c>
    </row>
    <row r="191" spans="1:256">
      <c r="A191" s="7" t="str">
        <f t="shared" si="4"/>
        <v>Ganzjahresbetrieb</v>
      </c>
      <c r="B191" t="s">
        <v>431</v>
      </c>
      <c r="C191" s="404" t="s">
        <v>432</v>
      </c>
      <c r="D191" s="559" t="s">
        <v>1040</v>
      </c>
    </row>
    <row r="192" spans="1:256" s="7" customFormat="1">
      <c r="A192" s="7" t="str">
        <f t="shared" si="4"/>
        <v>A1: Grundfutterverzehr aller Tiere</v>
      </c>
      <c r="B192" t="s">
        <v>361</v>
      </c>
      <c r="C192" s="492" t="s">
        <v>831</v>
      </c>
      <c r="D192" s="376" t="s">
        <v>1136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99"/>
      <c r="HA192" s="99"/>
      <c r="HB192" s="99"/>
      <c r="HC192" s="99"/>
      <c r="HD192" s="99"/>
      <c r="HE192" s="99"/>
      <c r="HF192" s="99"/>
      <c r="HG192" s="99"/>
      <c r="HH192" s="99"/>
      <c r="HI192" s="99"/>
      <c r="HJ192" s="99"/>
      <c r="HK192" s="99"/>
      <c r="HL192" s="99"/>
      <c r="HM192" s="99"/>
      <c r="HN192" s="99"/>
      <c r="HO192" s="99"/>
      <c r="HP192" s="99"/>
      <c r="HQ192" s="99"/>
      <c r="HR192" s="99"/>
      <c r="HS192" s="99"/>
      <c r="HT192" s="99"/>
      <c r="HU192" s="99"/>
      <c r="HV192" s="99"/>
      <c r="HW192" s="99"/>
      <c r="HX192" s="99"/>
      <c r="HY192" s="99"/>
      <c r="HZ192" s="99"/>
      <c r="IA192" s="99"/>
      <c r="IB192" s="99"/>
      <c r="IC192" s="99"/>
      <c r="ID192" s="99"/>
      <c r="IE192" s="99"/>
      <c r="IF192" s="99"/>
      <c r="IG192" s="99"/>
      <c r="IH192" s="99"/>
      <c r="II192" s="99"/>
      <c r="IJ192" s="99"/>
      <c r="IK192" s="99"/>
      <c r="IL192" s="99"/>
      <c r="IM192" s="99"/>
      <c r="IN192" s="99"/>
      <c r="IO192" s="99"/>
      <c r="IP192" s="99"/>
      <c r="IQ192" s="99"/>
      <c r="IR192" s="99"/>
      <c r="IS192" s="99"/>
      <c r="IT192" s="99"/>
      <c r="IU192" s="99"/>
      <c r="IV192" s="99"/>
    </row>
    <row r="193" spans="1:256" s="7" customFormat="1">
      <c r="A193" s="7" t="str">
        <f t="shared" si="4"/>
        <v>A2: Grundfutterverzehr Raufutterverzehrer</v>
      </c>
      <c r="B193" t="s">
        <v>375</v>
      </c>
      <c r="C193" s="492" t="s">
        <v>832</v>
      </c>
      <c r="D193" s="376" t="s">
        <v>1137</v>
      </c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99"/>
      <c r="HA193" s="99"/>
      <c r="HB193" s="99"/>
      <c r="HC193" s="99"/>
      <c r="HD193" s="99"/>
      <c r="HE193" s="99"/>
      <c r="HF193" s="99"/>
      <c r="HG193" s="99"/>
      <c r="HH193" s="99"/>
      <c r="HI193" s="99"/>
      <c r="HJ193" s="99"/>
      <c r="HK193" s="99"/>
      <c r="HL193" s="99"/>
      <c r="HM193" s="99"/>
      <c r="HN193" s="99"/>
      <c r="HO193" s="99"/>
      <c r="HP193" s="99"/>
      <c r="HQ193" s="99"/>
      <c r="HR193" s="99"/>
      <c r="HS193" s="99"/>
      <c r="HT193" s="99"/>
      <c r="HU193" s="99"/>
      <c r="HV193" s="99"/>
      <c r="HW193" s="99"/>
      <c r="HX193" s="99"/>
      <c r="HY193" s="99"/>
      <c r="HZ193" s="99"/>
      <c r="IA193" s="99"/>
      <c r="IB193" s="99"/>
      <c r="IC193" s="99"/>
      <c r="ID193" s="99"/>
      <c r="IE193" s="99"/>
      <c r="IF193" s="99"/>
      <c r="IG193" s="99"/>
      <c r="IH193" s="99"/>
      <c r="II193" s="99"/>
      <c r="IJ193" s="99"/>
      <c r="IK193" s="99"/>
      <c r="IL193" s="99"/>
      <c r="IM193" s="99"/>
      <c r="IN193" s="99"/>
      <c r="IO193" s="99"/>
      <c r="IP193" s="99"/>
      <c r="IQ193" s="99"/>
      <c r="IR193" s="99"/>
      <c r="IS193" s="99"/>
      <c r="IT193" s="99"/>
      <c r="IU193" s="99"/>
      <c r="IV193" s="99"/>
    </row>
    <row r="194" spans="1:256" s="7" customFormat="1">
      <c r="A194" s="7" t="str">
        <f t="shared" si="4"/>
        <v>A3: Wiesen-/Weidefutterverzehr übrige Tiere</v>
      </c>
      <c r="B194" t="s">
        <v>953</v>
      </c>
      <c r="C194" s="492" t="s">
        <v>952</v>
      </c>
      <c r="D194" s="376" t="s">
        <v>1138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99"/>
      <c r="HA194" s="99"/>
      <c r="HB194" s="99"/>
      <c r="HC194" s="99"/>
      <c r="HD194" s="99"/>
      <c r="HE194" s="99"/>
      <c r="HF194" s="99"/>
      <c r="HG194" s="99"/>
      <c r="HH194" s="99"/>
      <c r="HI194" s="99"/>
      <c r="HJ194" s="99"/>
      <c r="HK194" s="99"/>
      <c r="HL194" s="99"/>
      <c r="HM194" s="99"/>
      <c r="HN194" s="99"/>
      <c r="HO194" s="99"/>
      <c r="HP194" s="99"/>
      <c r="HQ194" s="99"/>
      <c r="HR194" s="99"/>
      <c r="HS194" s="99"/>
      <c r="HT194" s="99"/>
      <c r="HU194" s="99"/>
      <c r="HV194" s="99"/>
      <c r="HW194" s="99"/>
      <c r="HX194" s="99"/>
      <c r="HY194" s="99"/>
      <c r="HZ194" s="99"/>
      <c r="IA194" s="99"/>
      <c r="IB194" s="99"/>
      <c r="IC194" s="99"/>
      <c r="ID194" s="99"/>
      <c r="IE194" s="99"/>
      <c r="IF194" s="99"/>
      <c r="IG194" s="99"/>
      <c r="IH194" s="99"/>
      <c r="II194" s="99"/>
      <c r="IJ194" s="99"/>
      <c r="IK194" s="99"/>
      <c r="IL194" s="99"/>
      <c r="IM194" s="99"/>
      <c r="IN194" s="99"/>
      <c r="IO194" s="99"/>
      <c r="IP194" s="99"/>
      <c r="IQ194" s="99"/>
      <c r="IR194" s="99"/>
      <c r="IS194" s="99"/>
      <c r="IT194" s="99"/>
      <c r="IU194" s="99"/>
      <c r="IV194" s="99"/>
    </row>
    <row r="195" spans="1:256" s="7" customFormat="1">
      <c r="A195" s="7" t="str">
        <f t="shared" si="4"/>
        <v>A4: Kraftfutterverzehr der berechtigten Kategorien</v>
      </c>
      <c r="B195" t="s">
        <v>362</v>
      </c>
      <c r="C195" s="492" t="s">
        <v>822</v>
      </c>
      <c r="D195" s="376" t="s">
        <v>1139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99"/>
      <c r="HA195" s="99"/>
      <c r="HB195" s="99"/>
      <c r="HC195" s="99"/>
      <c r="HD195" s="99"/>
      <c r="HE195" s="99"/>
      <c r="HF195" s="99"/>
      <c r="HG195" s="99"/>
      <c r="HH195" s="99"/>
      <c r="HI195" s="99"/>
      <c r="HJ195" s="99"/>
      <c r="HK195" s="99"/>
      <c r="HL195" s="99"/>
      <c r="HM195" s="99"/>
      <c r="HN195" s="99"/>
      <c r="HO195" s="99"/>
      <c r="HP195" s="99"/>
      <c r="HQ195" s="99"/>
      <c r="HR195" s="99"/>
      <c r="HS195" s="99"/>
      <c r="HT195" s="99"/>
      <c r="HU195" s="99"/>
      <c r="HV195" s="99"/>
      <c r="HW195" s="99"/>
      <c r="HX195" s="99"/>
      <c r="HY195" s="99"/>
      <c r="HZ195" s="99"/>
      <c r="IA195" s="99"/>
      <c r="IB195" s="99"/>
      <c r="IC195" s="99"/>
      <c r="ID195" s="99"/>
      <c r="IE195" s="99"/>
      <c r="IF195" s="99"/>
      <c r="IG195" s="99"/>
      <c r="IH195" s="99"/>
      <c r="II195" s="99"/>
      <c r="IJ195" s="99"/>
      <c r="IK195" s="99"/>
      <c r="IL195" s="99"/>
      <c r="IM195" s="99"/>
      <c r="IN195" s="99"/>
      <c r="IO195" s="99"/>
      <c r="IP195" s="99"/>
      <c r="IQ195" s="99"/>
      <c r="IR195" s="99"/>
      <c r="IS195" s="99"/>
      <c r="IT195" s="99"/>
      <c r="IU195" s="99"/>
      <c r="IV195" s="99"/>
    </row>
    <row r="196" spans="1:256" s="7" customFormat="1">
      <c r="A196" s="7" t="str">
        <f t="shared" si="4"/>
        <v>A5: Gesamtverzehr der Raufutterverzehrer</v>
      </c>
      <c r="B196" t="s">
        <v>376</v>
      </c>
      <c r="C196" s="492" t="s">
        <v>828</v>
      </c>
      <c r="D196" s="376" t="s">
        <v>1140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99"/>
      <c r="HA196" s="99"/>
      <c r="HB196" s="99"/>
      <c r="HC196" s="99"/>
      <c r="HD196" s="99"/>
      <c r="HE196" s="99"/>
      <c r="HF196" s="99"/>
      <c r="HG196" s="99"/>
      <c r="HH196" s="99"/>
      <c r="HI196" s="99"/>
      <c r="HJ196" s="99"/>
      <c r="HK196" s="99"/>
      <c r="HL196" s="99"/>
      <c r="HM196" s="99"/>
      <c r="HN196" s="99"/>
      <c r="HO196" s="99"/>
      <c r="HP196" s="99"/>
      <c r="HQ196" s="99"/>
      <c r="HR196" s="99"/>
      <c r="HS196" s="99"/>
      <c r="HT196" s="99"/>
      <c r="HU196" s="99"/>
      <c r="HV196" s="99"/>
      <c r="HW196" s="99"/>
      <c r="HX196" s="99"/>
      <c r="HY196" s="99"/>
      <c r="HZ196" s="99"/>
      <c r="IA196" s="99"/>
      <c r="IB196" s="99"/>
      <c r="IC196" s="99"/>
      <c r="ID196" s="99"/>
      <c r="IE196" s="99"/>
      <c r="IF196" s="99"/>
      <c r="IG196" s="99"/>
      <c r="IH196" s="99"/>
      <c r="II196" s="99"/>
      <c r="IJ196" s="99"/>
      <c r="IK196" s="99"/>
      <c r="IL196" s="99"/>
      <c r="IM196" s="99"/>
      <c r="IN196" s="99"/>
      <c r="IO196" s="99"/>
      <c r="IP196" s="99"/>
      <c r="IQ196" s="99"/>
      <c r="IR196" s="99"/>
      <c r="IS196" s="99"/>
      <c r="IT196" s="99"/>
      <c r="IU196" s="99"/>
      <c r="IV196" s="99"/>
    </row>
    <row r="197" spans="1:256" s="7" customFormat="1">
      <c r="A197" s="7" t="str">
        <f t="shared" si="4"/>
        <v>Sömmerung</v>
      </c>
      <c r="B197" t="s">
        <v>409</v>
      </c>
      <c r="C197" s="404" t="s">
        <v>410</v>
      </c>
      <c r="D197" s="155" t="s">
        <v>411</v>
      </c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  <c r="CG197" s="99"/>
      <c r="CH197" s="99"/>
      <c r="CI197" s="99"/>
      <c r="CJ197" s="99"/>
      <c r="CK197" s="99"/>
      <c r="CL197" s="99"/>
      <c r="CM197" s="99"/>
      <c r="CN197" s="99"/>
      <c r="CO197" s="99"/>
      <c r="CP197" s="99"/>
      <c r="CQ197" s="99"/>
      <c r="CR197" s="99"/>
      <c r="CS197" s="99"/>
      <c r="CT197" s="99"/>
      <c r="CU197" s="99"/>
      <c r="CV197" s="99"/>
      <c r="CW197" s="99"/>
      <c r="CX197" s="99"/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  <c r="DV197" s="99"/>
      <c r="DW197" s="99"/>
      <c r="DX197" s="99"/>
      <c r="DY197" s="99"/>
      <c r="DZ197" s="99"/>
      <c r="EA197" s="99"/>
      <c r="EB197" s="99"/>
      <c r="EC197" s="99"/>
      <c r="ED197" s="99"/>
      <c r="EE197" s="99"/>
      <c r="EF197" s="99"/>
      <c r="EG197" s="99"/>
      <c r="EH197" s="99"/>
      <c r="EI197" s="99"/>
      <c r="EJ197" s="99"/>
      <c r="EK197" s="99"/>
      <c r="EL197" s="99"/>
      <c r="EM197" s="99"/>
      <c r="EN197" s="99"/>
      <c r="EO197" s="99"/>
      <c r="EP197" s="99"/>
      <c r="EQ197" s="99"/>
      <c r="ER197" s="99"/>
      <c r="ES197" s="99"/>
      <c r="ET197" s="99"/>
      <c r="EU197" s="99"/>
      <c r="EV197" s="99"/>
      <c r="EW197" s="99"/>
      <c r="EX197" s="99"/>
      <c r="EY197" s="99"/>
      <c r="EZ197" s="99"/>
      <c r="FA197" s="99"/>
      <c r="FB197" s="99"/>
      <c r="FC197" s="99"/>
      <c r="FD197" s="99"/>
      <c r="FE197" s="99"/>
      <c r="FF197" s="99"/>
      <c r="FG197" s="99"/>
      <c r="FH197" s="99"/>
      <c r="FI197" s="99"/>
      <c r="FJ197" s="99"/>
      <c r="FK197" s="99"/>
      <c r="FL197" s="99"/>
      <c r="FM197" s="99"/>
      <c r="FN197" s="99"/>
      <c r="FO197" s="99"/>
      <c r="FP197" s="99"/>
      <c r="FQ197" s="99"/>
      <c r="FR197" s="99"/>
      <c r="FS197" s="99"/>
      <c r="FT197" s="99"/>
      <c r="FU197" s="99"/>
      <c r="FV197" s="99"/>
      <c r="FW197" s="99"/>
      <c r="FX197" s="99"/>
      <c r="FY197" s="99"/>
      <c r="FZ197" s="99"/>
      <c r="GA197" s="99"/>
      <c r="GB197" s="99"/>
      <c r="GC197" s="99"/>
      <c r="GD197" s="99"/>
      <c r="GE197" s="99"/>
      <c r="GF197" s="99"/>
      <c r="GG197" s="99"/>
      <c r="GH197" s="99"/>
      <c r="GI197" s="99"/>
      <c r="GJ197" s="99"/>
      <c r="GK197" s="99"/>
      <c r="GL197" s="99"/>
      <c r="GM197" s="99"/>
      <c r="GN197" s="99"/>
      <c r="GO197" s="99"/>
      <c r="GP197" s="99"/>
      <c r="GQ197" s="99"/>
      <c r="GR197" s="99"/>
      <c r="GS197" s="99"/>
      <c r="GT197" s="99"/>
      <c r="GU197" s="99"/>
      <c r="GV197" s="99"/>
      <c r="GW197" s="99"/>
      <c r="GX197" s="99"/>
      <c r="GY197" s="99"/>
      <c r="GZ197" s="99"/>
      <c r="HA197" s="99"/>
      <c r="HB197" s="99"/>
      <c r="HC197" s="99"/>
      <c r="HD197" s="99"/>
      <c r="HE197" s="99"/>
      <c r="HF197" s="99"/>
      <c r="HG197" s="99"/>
      <c r="HH197" s="99"/>
      <c r="HI197" s="99"/>
      <c r="HJ197" s="99"/>
      <c r="HK197" s="99"/>
      <c r="HL197" s="99"/>
      <c r="HM197" s="99"/>
      <c r="HN197" s="99"/>
      <c r="HO197" s="99"/>
      <c r="HP197" s="99"/>
      <c r="HQ197" s="99"/>
      <c r="HR197" s="99"/>
      <c r="HS197" s="99"/>
      <c r="HT197" s="99"/>
      <c r="HU197" s="99"/>
      <c r="HV197" s="99"/>
      <c r="HW197" s="99"/>
      <c r="HX197" s="99"/>
      <c r="HY197" s="99"/>
      <c r="HZ197" s="99"/>
      <c r="IA197" s="99"/>
      <c r="IB197" s="99"/>
      <c r="IC197" s="99"/>
      <c r="ID197" s="99"/>
      <c r="IE197" s="99"/>
      <c r="IF197" s="99"/>
      <c r="IG197" s="99"/>
      <c r="IH197" s="99"/>
      <c r="II197" s="99"/>
      <c r="IJ197" s="99"/>
      <c r="IK197" s="99"/>
      <c r="IL197" s="99"/>
      <c r="IM197" s="99"/>
      <c r="IN197" s="99"/>
      <c r="IO197" s="99"/>
      <c r="IP197" s="99"/>
      <c r="IQ197" s="99"/>
      <c r="IR197" s="99"/>
      <c r="IS197" s="99"/>
      <c r="IT197" s="99"/>
      <c r="IU197" s="99"/>
      <c r="IV197" s="99"/>
    </row>
    <row r="198" spans="1:256" s="7" customFormat="1">
      <c r="A198" s="7" t="str">
        <f t="shared" si="4"/>
        <v>A6: Grundfutterverzehr Raufutterverzehrer</v>
      </c>
      <c r="B198" t="s">
        <v>425</v>
      </c>
      <c r="C198" s="404" t="s">
        <v>426</v>
      </c>
      <c r="D198" s="155" t="s">
        <v>1141</v>
      </c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  <c r="CG198" s="99"/>
      <c r="CH198" s="99"/>
      <c r="CI198" s="99"/>
      <c r="CJ198" s="99"/>
      <c r="CK198" s="99"/>
      <c r="CL198" s="99"/>
      <c r="CM198" s="99"/>
      <c r="CN198" s="99"/>
      <c r="CO198" s="99"/>
      <c r="CP198" s="99"/>
      <c r="CQ198" s="99"/>
      <c r="CR198" s="99"/>
      <c r="CS198" s="99"/>
      <c r="CT198" s="99"/>
      <c r="CU198" s="99"/>
      <c r="CV198" s="99"/>
      <c r="CW198" s="99"/>
      <c r="CX198" s="99"/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  <c r="DV198" s="99"/>
      <c r="DW198" s="99"/>
      <c r="DX198" s="99"/>
      <c r="DY198" s="99"/>
      <c r="DZ198" s="99"/>
      <c r="EA198" s="99"/>
      <c r="EB198" s="99"/>
      <c r="EC198" s="99"/>
      <c r="ED198" s="99"/>
      <c r="EE198" s="99"/>
      <c r="EF198" s="99"/>
      <c r="EG198" s="99"/>
      <c r="EH198" s="99"/>
      <c r="EI198" s="99"/>
      <c r="EJ198" s="99"/>
      <c r="EK198" s="99"/>
      <c r="EL198" s="99"/>
      <c r="EM198" s="99"/>
      <c r="EN198" s="99"/>
      <c r="EO198" s="99"/>
      <c r="EP198" s="99"/>
      <c r="EQ198" s="99"/>
      <c r="ER198" s="99"/>
      <c r="ES198" s="99"/>
      <c r="ET198" s="99"/>
      <c r="EU198" s="99"/>
      <c r="EV198" s="99"/>
      <c r="EW198" s="99"/>
      <c r="EX198" s="99"/>
      <c r="EY198" s="99"/>
      <c r="EZ198" s="99"/>
      <c r="FA198" s="99"/>
      <c r="FB198" s="99"/>
      <c r="FC198" s="99"/>
      <c r="FD198" s="99"/>
      <c r="FE198" s="99"/>
      <c r="FF198" s="99"/>
      <c r="FG198" s="99"/>
      <c r="FH198" s="99"/>
      <c r="FI198" s="99"/>
      <c r="FJ198" s="99"/>
      <c r="FK198" s="99"/>
      <c r="FL198" s="99"/>
      <c r="FM198" s="99"/>
      <c r="FN198" s="99"/>
      <c r="FO198" s="99"/>
      <c r="FP198" s="99"/>
      <c r="FQ198" s="99"/>
      <c r="FR198" s="99"/>
      <c r="FS198" s="99"/>
      <c r="FT198" s="99"/>
      <c r="FU198" s="99"/>
      <c r="FV198" s="99"/>
      <c r="FW198" s="99"/>
      <c r="FX198" s="99"/>
      <c r="FY198" s="99"/>
      <c r="FZ198" s="99"/>
      <c r="GA198" s="99"/>
      <c r="GB198" s="99"/>
      <c r="GC198" s="99"/>
      <c r="GD198" s="99"/>
      <c r="GE198" s="99"/>
      <c r="GF198" s="99"/>
      <c r="GG198" s="99"/>
      <c r="GH198" s="99"/>
      <c r="GI198" s="99"/>
      <c r="GJ198" s="99"/>
      <c r="GK198" s="99"/>
      <c r="GL198" s="99"/>
      <c r="GM198" s="99"/>
      <c r="GN198" s="99"/>
      <c r="GO198" s="99"/>
      <c r="GP198" s="99"/>
      <c r="GQ198" s="99"/>
      <c r="GR198" s="99"/>
      <c r="GS198" s="99"/>
      <c r="GT198" s="99"/>
      <c r="GU198" s="99"/>
      <c r="GV198" s="99"/>
      <c r="GW198" s="99"/>
      <c r="GX198" s="99"/>
      <c r="GY198" s="99"/>
      <c r="GZ198" s="99"/>
      <c r="HA198" s="99"/>
      <c r="HB198" s="99"/>
      <c r="HC198" s="99"/>
      <c r="HD198" s="99"/>
      <c r="HE198" s="99"/>
      <c r="HF198" s="99"/>
      <c r="HG198" s="99"/>
      <c r="HH198" s="99"/>
      <c r="HI198" s="99"/>
      <c r="HJ198" s="99"/>
      <c r="HK198" s="99"/>
      <c r="HL198" s="99"/>
      <c r="HM198" s="99"/>
      <c r="HN198" s="99"/>
      <c r="HO198" s="99"/>
      <c r="HP198" s="99"/>
      <c r="HQ198" s="99"/>
      <c r="HR198" s="99"/>
      <c r="HS198" s="99"/>
      <c r="HT198" s="99"/>
      <c r="HU198" s="99"/>
      <c r="HV198" s="99"/>
      <c r="HW198" s="99"/>
      <c r="HX198" s="99"/>
      <c r="HY198" s="99"/>
      <c r="HZ198" s="99"/>
      <c r="IA198" s="99"/>
      <c r="IB198" s="99"/>
      <c r="IC198" s="99"/>
      <c r="ID198" s="99"/>
      <c r="IE198" s="99"/>
      <c r="IF198" s="99"/>
      <c r="IG198" s="99"/>
      <c r="IH198" s="99"/>
      <c r="II198" s="99"/>
      <c r="IJ198" s="99"/>
      <c r="IK198" s="99"/>
      <c r="IL198" s="99"/>
      <c r="IM198" s="99"/>
      <c r="IN198" s="99"/>
      <c r="IO198" s="99"/>
      <c r="IP198" s="99"/>
      <c r="IQ198" s="99"/>
      <c r="IR198" s="99"/>
      <c r="IS198" s="99"/>
      <c r="IT198" s="99"/>
      <c r="IU198" s="99"/>
      <c r="IV198" s="99"/>
    </row>
    <row r="199" spans="1:256" s="7" customFormat="1">
      <c r="A199" s="7" t="str">
        <f t="shared" si="4"/>
        <v>A7: Kraftfutterverzehr berechtigte Kategorien</v>
      </c>
      <c r="B199" t="s">
        <v>427</v>
      </c>
      <c r="C199" s="404" t="s">
        <v>428</v>
      </c>
      <c r="D199" s="155" t="s">
        <v>1142</v>
      </c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99"/>
      <c r="HA199" s="99"/>
      <c r="HB199" s="99"/>
      <c r="HC199" s="99"/>
      <c r="HD199" s="99"/>
      <c r="HE199" s="99"/>
      <c r="HF199" s="99"/>
      <c r="HG199" s="99"/>
      <c r="HH199" s="99"/>
      <c r="HI199" s="99"/>
      <c r="HJ199" s="99"/>
      <c r="HK199" s="99"/>
      <c r="HL199" s="99"/>
      <c r="HM199" s="99"/>
      <c r="HN199" s="99"/>
      <c r="HO199" s="99"/>
      <c r="HP199" s="99"/>
      <c r="HQ199" s="99"/>
      <c r="HR199" s="99"/>
      <c r="HS199" s="99"/>
      <c r="HT199" s="99"/>
      <c r="HU199" s="99"/>
      <c r="HV199" s="99"/>
      <c r="HW199" s="99"/>
      <c r="HX199" s="99"/>
      <c r="HY199" s="99"/>
      <c r="HZ199" s="99"/>
      <c r="IA199" s="99"/>
      <c r="IB199" s="99"/>
      <c r="IC199" s="99"/>
      <c r="ID199" s="99"/>
      <c r="IE199" s="99"/>
      <c r="IF199" s="99"/>
      <c r="IG199" s="99"/>
      <c r="IH199" s="99"/>
      <c r="II199" s="99"/>
      <c r="IJ199" s="99"/>
      <c r="IK199" s="99"/>
      <c r="IL199" s="99"/>
      <c r="IM199" s="99"/>
      <c r="IN199" s="99"/>
      <c r="IO199" s="99"/>
      <c r="IP199" s="99"/>
      <c r="IQ199" s="99"/>
      <c r="IR199" s="99"/>
      <c r="IS199" s="99"/>
      <c r="IT199" s="99"/>
      <c r="IU199" s="99"/>
      <c r="IV199" s="99"/>
    </row>
    <row r="200" spans="1:256" s="7" customFormat="1">
      <c r="A200" s="7" t="str">
        <f t="shared" si="4"/>
        <v>A8: Sömmerungstage gemäss AniCalc (TVD-Auszug)</v>
      </c>
      <c r="B200" s="7" t="s">
        <v>429</v>
      </c>
      <c r="C200" s="404" t="s">
        <v>430</v>
      </c>
      <c r="D200" s="7" t="s">
        <v>1041</v>
      </c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9"/>
      <c r="FK200" s="99"/>
      <c r="FL200" s="99"/>
      <c r="FM200" s="99"/>
      <c r="FN200" s="99"/>
      <c r="FO200" s="99"/>
      <c r="FP200" s="99"/>
      <c r="FQ200" s="99"/>
      <c r="FR200" s="99"/>
      <c r="FS200" s="99"/>
      <c r="FT200" s="99"/>
      <c r="FU200" s="99"/>
      <c r="FV200" s="99"/>
      <c r="FW200" s="99"/>
      <c r="FX200" s="99"/>
      <c r="FY200" s="99"/>
      <c r="FZ200" s="99"/>
      <c r="GA200" s="99"/>
      <c r="GB200" s="99"/>
      <c r="GC200" s="99"/>
      <c r="GD200" s="99"/>
      <c r="GE200" s="99"/>
      <c r="GF200" s="99"/>
      <c r="GG200" s="99"/>
      <c r="GH200" s="99"/>
      <c r="GI200" s="99"/>
      <c r="GJ200" s="99"/>
      <c r="GK200" s="99"/>
      <c r="GL200" s="99"/>
      <c r="GM200" s="99"/>
      <c r="GN200" s="99"/>
      <c r="GO200" s="99"/>
      <c r="GP200" s="99"/>
      <c r="GQ200" s="99"/>
      <c r="GR200" s="99"/>
      <c r="GS200" s="99"/>
      <c r="GT200" s="99"/>
      <c r="GU200" s="99"/>
      <c r="GV200" s="99"/>
      <c r="GW200" s="99"/>
      <c r="GX200" s="99"/>
      <c r="GY200" s="99"/>
      <c r="GZ200" s="99"/>
      <c r="HA200" s="99"/>
      <c r="HB200" s="99"/>
      <c r="HC200" s="99"/>
      <c r="HD200" s="99"/>
      <c r="HE200" s="99"/>
      <c r="HF200" s="99"/>
      <c r="HG200" s="99"/>
      <c r="HH200" s="99"/>
      <c r="HI200" s="99"/>
      <c r="HJ200" s="99"/>
      <c r="HK200" s="99"/>
      <c r="HL200" s="99"/>
      <c r="HM200" s="99"/>
      <c r="HN200" s="99"/>
      <c r="HO200" s="99"/>
      <c r="HP200" s="99"/>
      <c r="HQ200" s="99"/>
      <c r="HR200" s="99"/>
      <c r="HS200" s="99"/>
      <c r="HT200" s="99"/>
      <c r="HU200" s="99"/>
      <c r="HV200" s="99"/>
      <c r="HW200" s="99"/>
      <c r="HX200" s="99"/>
      <c r="HY200" s="99"/>
      <c r="HZ200" s="99"/>
      <c r="IA200" s="99"/>
      <c r="IB200" s="99"/>
      <c r="IC200" s="99"/>
      <c r="ID200" s="99"/>
      <c r="IE200" s="99"/>
      <c r="IF200" s="99"/>
      <c r="IG200" s="99"/>
      <c r="IH200" s="99"/>
      <c r="II200" s="99"/>
      <c r="IJ200" s="99"/>
      <c r="IK200" s="99"/>
      <c r="IL200" s="99"/>
      <c r="IM200" s="99"/>
      <c r="IN200" s="99"/>
      <c r="IO200" s="99"/>
      <c r="IP200" s="99"/>
      <c r="IQ200" s="99"/>
      <c r="IR200" s="99"/>
      <c r="IS200" s="99"/>
      <c r="IT200" s="99"/>
      <c r="IU200" s="99"/>
      <c r="IV200" s="99"/>
    </row>
    <row r="201" spans="1:256" s="7" customFormat="1">
      <c r="B201"/>
      <c r="C201" s="99"/>
      <c r="D201" s="376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99"/>
      <c r="DN201" s="99"/>
      <c r="DO201" s="99"/>
      <c r="DP201" s="99"/>
      <c r="DQ201" s="99"/>
      <c r="DR201" s="99"/>
      <c r="DS201" s="99"/>
      <c r="DT201" s="99"/>
      <c r="DU201" s="99"/>
      <c r="DV201" s="99"/>
      <c r="DW201" s="99"/>
      <c r="DX201" s="99"/>
      <c r="DY201" s="99"/>
      <c r="DZ201" s="99"/>
      <c r="EA201" s="99"/>
      <c r="EB201" s="99"/>
      <c r="EC201" s="99"/>
      <c r="ED201" s="99"/>
      <c r="EE201" s="99"/>
      <c r="EF201" s="99"/>
      <c r="EG201" s="99"/>
      <c r="EH201" s="99"/>
      <c r="EI201" s="99"/>
      <c r="EJ201" s="99"/>
      <c r="EK201" s="99"/>
      <c r="EL201" s="99"/>
      <c r="EM201" s="99"/>
      <c r="EN201" s="99"/>
      <c r="EO201" s="99"/>
      <c r="EP201" s="99"/>
      <c r="EQ201" s="99"/>
      <c r="ER201" s="99"/>
      <c r="ES201" s="99"/>
      <c r="ET201" s="99"/>
      <c r="EU201" s="99"/>
      <c r="EV201" s="99"/>
      <c r="EW201" s="99"/>
      <c r="EX201" s="99"/>
      <c r="EY201" s="99"/>
      <c r="EZ201" s="99"/>
      <c r="FA201" s="99"/>
      <c r="FB201" s="99"/>
      <c r="FC201" s="99"/>
      <c r="FD201" s="99"/>
      <c r="FE201" s="99"/>
      <c r="FF201" s="99"/>
      <c r="FG201" s="99"/>
      <c r="FH201" s="99"/>
      <c r="FI201" s="99"/>
      <c r="FJ201" s="99"/>
      <c r="FK201" s="99"/>
      <c r="FL201" s="99"/>
      <c r="FM201" s="99"/>
      <c r="FN201" s="99"/>
      <c r="FO201" s="99"/>
      <c r="FP201" s="99"/>
      <c r="FQ201" s="99"/>
      <c r="FR201" s="99"/>
      <c r="FS201" s="99"/>
      <c r="FT201" s="99"/>
      <c r="FU201" s="99"/>
      <c r="FV201" s="99"/>
      <c r="FW201" s="99"/>
      <c r="FX201" s="99"/>
      <c r="FY201" s="99"/>
      <c r="FZ201" s="99"/>
      <c r="GA201" s="99"/>
      <c r="GB201" s="99"/>
      <c r="GC201" s="99"/>
      <c r="GD201" s="99"/>
      <c r="GE201" s="99"/>
      <c r="GF201" s="99"/>
      <c r="GG201" s="99"/>
      <c r="GH201" s="99"/>
      <c r="GI201" s="99"/>
      <c r="GJ201" s="99"/>
      <c r="GK201" s="99"/>
      <c r="GL201" s="99"/>
      <c r="GM201" s="99"/>
      <c r="GN201" s="99"/>
      <c r="GO201" s="99"/>
      <c r="GP201" s="99"/>
      <c r="GQ201" s="99"/>
      <c r="GR201" s="99"/>
      <c r="GS201" s="99"/>
      <c r="GT201" s="99"/>
      <c r="GU201" s="99"/>
      <c r="GV201" s="99"/>
      <c r="GW201" s="99"/>
      <c r="GX201" s="99"/>
      <c r="GY201" s="99"/>
      <c r="GZ201" s="99"/>
      <c r="HA201" s="99"/>
      <c r="HB201" s="99"/>
      <c r="HC201" s="99"/>
      <c r="HD201" s="99"/>
      <c r="HE201" s="99"/>
      <c r="HF201" s="99"/>
      <c r="HG201" s="99"/>
      <c r="HH201" s="99"/>
      <c r="HI201" s="99"/>
      <c r="HJ201" s="99"/>
      <c r="HK201" s="99"/>
      <c r="HL201" s="99"/>
      <c r="HM201" s="99"/>
      <c r="HN201" s="99"/>
      <c r="HO201" s="99"/>
      <c r="HP201" s="99"/>
      <c r="HQ201" s="99"/>
      <c r="HR201" s="99"/>
      <c r="HS201" s="99"/>
      <c r="HT201" s="99"/>
      <c r="HU201" s="99"/>
      <c r="HV201" s="99"/>
      <c r="HW201" s="99"/>
      <c r="HX201" s="99"/>
      <c r="HY201" s="99"/>
      <c r="HZ201" s="99"/>
      <c r="IA201" s="99"/>
      <c r="IB201" s="99"/>
      <c r="IC201" s="99"/>
      <c r="ID201" s="99"/>
      <c r="IE201" s="99"/>
      <c r="IF201" s="99"/>
      <c r="IG201" s="99"/>
      <c r="IH201" s="99"/>
      <c r="II201" s="99"/>
      <c r="IJ201" s="99"/>
      <c r="IK201" s="99"/>
      <c r="IL201" s="99"/>
      <c r="IM201" s="99"/>
      <c r="IN201" s="99"/>
      <c r="IO201" s="99"/>
      <c r="IP201" s="99"/>
      <c r="IQ201" s="99"/>
      <c r="IR201" s="99"/>
      <c r="IS201" s="99"/>
      <c r="IT201" s="99"/>
      <c r="IU201" s="99"/>
      <c r="IV201" s="99"/>
    </row>
    <row r="202" spans="1:256" s="75" customFormat="1">
      <c r="A202" s="75" t="str">
        <f t="shared" ref="A202:A216" si="5">IF($A$2=1,B202,IF($A$2=2,C202,IF($A$2=3,D202,"")))</f>
        <v>Teil B: Grundfutterproduktion</v>
      </c>
      <c r="B202" s="75" t="s">
        <v>365</v>
      </c>
      <c r="C202" s="75" t="s">
        <v>836</v>
      </c>
      <c r="D202" s="375" t="s">
        <v>1143</v>
      </c>
    </row>
    <row r="203" spans="1:256">
      <c r="A203" s="7" t="str">
        <f t="shared" si="5"/>
        <v>Stand.</v>
      </c>
      <c r="B203" t="s">
        <v>520</v>
      </c>
      <c r="C203" t="s">
        <v>667</v>
      </c>
      <c r="D203" s="376" t="s">
        <v>1014</v>
      </c>
    </row>
    <row r="204" spans="1:256">
      <c r="A204" s="7" t="str">
        <f t="shared" si="5"/>
        <v>Ertrag</v>
      </c>
      <c r="B204" t="s">
        <v>666</v>
      </c>
      <c r="C204" t="s">
        <v>516</v>
      </c>
      <c r="D204" s="376" t="s">
        <v>516</v>
      </c>
    </row>
    <row r="205" spans="1:256">
      <c r="A205" s="7" t="str">
        <f t="shared" si="5"/>
        <v>Ertrag</v>
      </c>
      <c r="B205" t="s">
        <v>666</v>
      </c>
      <c r="C205" t="s">
        <v>667</v>
      </c>
      <c r="D205" s="376" t="s">
        <v>1014</v>
      </c>
    </row>
    <row r="206" spans="1:256">
      <c r="A206" s="7" t="str">
        <f t="shared" si="5"/>
        <v>Fläche</v>
      </c>
      <c r="B206" t="s">
        <v>665</v>
      </c>
      <c r="C206" t="s">
        <v>517</v>
      </c>
      <c r="D206" s="376" t="s">
        <v>516</v>
      </c>
    </row>
    <row r="207" spans="1:256">
      <c r="A207" s="7" t="str">
        <f t="shared" si="5"/>
        <v>dt TS/ha</v>
      </c>
      <c r="B207" t="s">
        <v>519</v>
      </c>
      <c r="C207" t="s">
        <v>758</v>
      </c>
      <c r="D207" s="376" t="s">
        <v>1015</v>
      </c>
    </row>
    <row r="208" spans="1:256">
      <c r="A208" s="7" t="str">
        <f t="shared" si="5"/>
        <v>Menge</v>
      </c>
      <c r="B208" t="s">
        <v>608</v>
      </c>
      <c r="C208" t="s">
        <v>518</v>
      </c>
      <c r="D208" s="376" t="s">
        <v>518</v>
      </c>
    </row>
    <row r="209" spans="1:4">
      <c r="A209" s="7" t="str">
        <f t="shared" si="5"/>
        <v>dt TS</v>
      </c>
      <c r="B209" t="s">
        <v>546</v>
      </c>
      <c r="C209" t="s">
        <v>627</v>
      </c>
      <c r="D209" s="376" t="s">
        <v>965</v>
      </c>
    </row>
    <row r="210" spans="1:4">
      <c r="A210" s="7" t="str">
        <f t="shared" si="5"/>
        <v>1 = Verkauf</v>
      </c>
      <c r="B210" t="s">
        <v>635</v>
      </c>
      <c r="C210" t="s">
        <v>745</v>
      </c>
      <c r="D210" s="376" t="s">
        <v>1016</v>
      </c>
    </row>
    <row r="211" spans="1:4">
      <c r="A211" s="7" t="str">
        <f t="shared" si="5"/>
        <v>2 = Zukauf</v>
      </c>
      <c r="B211" t="s">
        <v>636</v>
      </c>
      <c r="C211" t="s">
        <v>746</v>
      </c>
      <c r="D211" s="376" t="s">
        <v>1017</v>
      </c>
    </row>
    <row r="212" spans="1:4">
      <c r="A212" s="7" t="str">
        <f t="shared" si="5"/>
        <v>3 = ausserhalb FF</v>
      </c>
      <c r="B212" t="s">
        <v>637</v>
      </c>
      <c r="C212" t="s">
        <v>748</v>
      </c>
      <c r="D212" s="376" t="s">
        <v>1018</v>
      </c>
    </row>
    <row r="213" spans="1:4">
      <c r="A213" s="7" t="str">
        <f t="shared" si="5"/>
        <v>Ganzpflanzenmais, Silomais</v>
      </c>
      <c r="B213" t="s">
        <v>877</v>
      </c>
      <c r="C213" t="s">
        <v>837</v>
      </c>
      <c r="D213" s="376" t="s">
        <v>1127</v>
      </c>
    </row>
    <row r="214" spans="1:4">
      <c r="A214" s="7" t="str">
        <f t="shared" si="5"/>
        <v>Ganzpflanzen-Sorghum</v>
      </c>
      <c r="B214" t="s">
        <v>1326</v>
      </c>
      <c r="C214" t="s">
        <v>1375</v>
      </c>
      <c r="D214" s="376" t="s">
        <v>1327</v>
      </c>
    </row>
    <row r="215" spans="1:4">
      <c r="A215" s="7" t="str">
        <f t="shared" si="5"/>
        <v>Getreide-Silage</v>
      </c>
      <c r="B215" t="s">
        <v>473</v>
      </c>
      <c r="C215" t="s">
        <v>471</v>
      </c>
      <c r="D215" s="376" t="s">
        <v>89</v>
      </c>
    </row>
    <row r="216" spans="1:4">
      <c r="A216" s="7" t="str">
        <f t="shared" si="5"/>
        <v>Getreide-Silage mit Leguminosen</v>
      </c>
      <c r="B216" t="s">
        <v>474</v>
      </c>
      <c r="C216" t="s">
        <v>472</v>
      </c>
      <c r="D216" s="376" t="s">
        <v>88</v>
      </c>
    </row>
    <row r="217" spans="1:4">
      <c r="A217" s="7" t="str">
        <f t="shared" ref="A217:A229" si="6">IF($A$2=1,B217,IF($A$2=2,C217,IF($A$2=3,D217,"")))</f>
        <v>Futterrüben (ohne Blätter)</v>
      </c>
      <c r="B217" t="s">
        <v>609</v>
      </c>
      <c r="C217" s="7" t="s">
        <v>610</v>
      </c>
      <c r="D217" s="376" t="s">
        <v>1021</v>
      </c>
    </row>
    <row r="218" spans="1:4">
      <c r="A218" s="7" t="str">
        <f t="shared" si="6"/>
        <v>Grünmais (2. Kultur)</v>
      </c>
      <c r="B218" t="s">
        <v>878</v>
      </c>
      <c r="C218" s="7" t="s">
        <v>838</v>
      </c>
      <c r="D218" s="376" t="s">
        <v>1374</v>
      </c>
    </row>
    <row r="219" spans="1:4">
      <c r="A219" s="7" t="str">
        <f t="shared" si="6"/>
        <v>Ganzpflanzen-Sorghum (2. Kultur)</v>
      </c>
      <c r="B219" t="s">
        <v>1328</v>
      </c>
      <c r="C219" s="7" t="s">
        <v>1376</v>
      </c>
      <c r="D219" s="376" t="s">
        <v>1329</v>
      </c>
    </row>
    <row r="220" spans="1:4">
      <c r="A220" s="7" t="str">
        <f t="shared" si="6"/>
        <v>Verfüttertes Stroh (nur betriebseigenes)</v>
      </c>
      <c r="B220" t="s">
        <v>393</v>
      </c>
      <c r="C220" t="s">
        <v>839</v>
      </c>
      <c r="D220" s="376" t="s">
        <v>1022</v>
      </c>
    </row>
    <row r="221" spans="1:4">
      <c r="A221" s="7" t="str">
        <f t="shared" si="6"/>
        <v>Verfütterte Rübenblätter (nur betriebseigene)</v>
      </c>
      <c r="B221" t="s">
        <v>394</v>
      </c>
      <c r="C221" t="s">
        <v>395</v>
      </c>
      <c r="D221" s="376" t="s">
        <v>1023</v>
      </c>
    </row>
    <row r="222" spans="1:4">
      <c r="A222" s="7" t="str">
        <f t="shared" si="6"/>
        <v>Zwischenfutter, Aeugstlen</v>
      </c>
      <c r="B222" t="s">
        <v>1341</v>
      </c>
      <c r="C222" t="s">
        <v>1342</v>
      </c>
      <c r="D222" s="376" t="s">
        <v>1155</v>
      </c>
    </row>
    <row r="223" spans="1:4">
      <c r="A223" s="7" t="str">
        <f t="shared" si="6"/>
        <v>Frühjahrsschnitt vor Umbruch</v>
      </c>
      <c r="B223" t="s">
        <v>1338</v>
      </c>
      <c r="C223" t="s">
        <v>1339</v>
      </c>
      <c r="D223" t="s">
        <v>1340</v>
      </c>
    </row>
    <row r="224" spans="1:4">
      <c r="A224" s="7" t="str">
        <f t="shared" si="6"/>
        <v>Samenproduktion: Leguminosen Reinbestand</v>
      </c>
      <c r="B224" t="s">
        <v>611</v>
      </c>
      <c r="C224" t="s">
        <v>612</v>
      </c>
      <c r="D224" s="376" t="s">
        <v>1024</v>
      </c>
    </row>
    <row r="225" spans="1:4">
      <c r="A225" s="7" t="str">
        <f t="shared" si="6"/>
        <v>Samenproduktion: Gras Reinbestand</v>
      </c>
      <c r="B225" t="s">
        <v>613</v>
      </c>
      <c r="C225" t="s">
        <v>614</v>
      </c>
      <c r="D225" s="376" t="s">
        <v>1025</v>
      </c>
    </row>
    <row r="226" spans="1:4">
      <c r="A226" s="7" t="str">
        <f t="shared" si="6"/>
        <v>Extensive Wiesen</v>
      </c>
      <c r="B226" t="s">
        <v>615</v>
      </c>
      <c r="C226" t="s">
        <v>616</v>
      </c>
      <c r="D226" s="376" t="s">
        <v>1026</v>
      </c>
    </row>
    <row r="227" spans="1:4">
      <c r="A227" s="7" t="str">
        <f t="shared" si="6"/>
        <v>Übrige Wiesen mit Düngeverbot</v>
      </c>
      <c r="B227" t="s">
        <v>668</v>
      </c>
      <c r="C227" t="s">
        <v>656</v>
      </c>
      <c r="D227" s="376" t="s">
        <v>1027</v>
      </c>
    </row>
    <row r="228" spans="1:4">
      <c r="A228" s="7" t="str">
        <f t="shared" si="6"/>
        <v>Extensive Weiden, Waldweiden</v>
      </c>
      <c r="B228" t="s">
        <v>617</v>
      </c>
      <c r="C228" t="s">
        <v>618</v>
      </c>
      <c r="D228" s="376" t="s">
        <v>1028</v>
      </c>
    </row>
    <row r="229" spans="1:4">
      <c r="A229" s="7" t="str">
        <f t="shared" si="6"/>
        <v>Wiesen und Weiden</v>
      </c>
      <c r="B229" t="s">
        <v>657</v>
      </c>
      <c r="C229" t="s">
        <v>658</v>
      </c>
      <c r="D229" s="376" t="s">
        <v>1029</v>
      </c>
    </row>
    <row r="230" spans="1:4">
      <c r="A230" s="7" t="str">
        <f t="shared" ref="A230:A252" si="7">IF($A$2=1,B230,IF($A$2=2,C230,IF($A$2=3,D230,"")))</f>
        <v>wenig intensiv (1-3 Nutzungen)</v>
      </c>
      <c r="B230" t="s">
        <v>565</v>
      </c>
      <c r="C230" t="s">
        <v>760</v>
      </c>
      <c r="D230" s="376" t="s">
        <v>1030</v>
      </c>
    </row>
    <row r="231" spans="1:4">
      <c r="A231" s="7" t="str">
        <f t="shared" si="7"/>
        <v>mittelintensiv (1-4 Nutzungen)</v>
      </c>
      <c r="B231" t="s">
        <v>566</v>
      </c>
      <c r="C231" t="s">
        <v>762</v>
      </c>
      <c r="D231" s="376" t="s">
        <v>1156</v>
      </c>
    </row>
    <row r="232" spans="1:4">
      <c r="A232" s="7" t="str">
        <f t="shared" si="7"/>
        <v>intensive (2-6 Nutzungen)</v>
      </c>
      <c r="B232" t="s">
        <v>567</v>
      </c>
      <c r="C232" t="s">
        <v>763</v>
      </c>
      <c r="D232" s="376" t="s">
        <v>1031</v>
      </c>
    </row>
    <row r="233" spans="1:4">
      <c r="A233" s="7" t="str">
        <f t="shared" si="7"/>
        <v>Grünfläche</v>
      </c>
      <c r="B233" t="s">
        <v>773</v>
      </c>
      <c r="C233" t="s">
        <v>790</v>
      </c>
      <c r="D233" s="376" t="s">
        <v>1032</v>
      </c>
    </row>
    <row r="234" spans="1:4">
      <c r="A234" s="7" t="str">
        <f t="shared" si="7"/>
        <v>Zwischenfutterfläche</v>
      </c>
      <c r="B234" t="s">
        <v>359</v>
      </c>
      <c r="C234" t="s">
        <v>840</v>
      </c>
      <c r="D234" s="376" t="s">
        <v>1033</v>
      </c>
    </row>
    <row r="235" spans="1:4">
      <c r="A235" s="7" t="str">
        <f t="shared" si="7"/>
        <v>B1: Grundfutterproduktion total</v>
      </c>
      <c r="B235" t="s">
        <v>364</v>
      </c>
      <c r="C235" t="s">
        <v>841</v>
      </c>
      <c r="D235" s="376" t="s">
        <v>1045</v>
      </c>
    </row>
    <row r="236" spans="1:4">
      <c r="A236" s="7" t="str">
        <f t="shared" si="7"/>
        <v>B2: Grundfutterproduktion Wiesen und Weiden</v>
      </c>
      <c r="B236" t="s">
        <v>662</v>
      </c>
      <c r="C236" t="s">
        <v>842</v>
      </c>
      <c r="D236" s="376" t="s">
        <v>1144</v>
      </c>
    </row>
    <row r="237" spans="1:4">
      <c r="A237" s="7" t="str">
        <f t="shared" si="7"/>
        <v>B3: Grundfutterproduktion übrige</v>
      </c>
      <c r="B237" t="s">
        <v>647</v>
      </c>
      <c r="C237" t="s">
        <v>648</v>
      </c>
      <c r="D237" s="376" t="s">
        <v>1046</v>
      </c>
    </row>
    <row r="238" spans="1:4">
      <c r="A238" s="7" t="str">
        <f t="shared" si="7"/>
        <v>Maximalertrag ist überschritten!</v>
      </c>
      <c r="B238" t="s">
        <v>779</v>
      </c>
      <c r="C238" t="s">
        <v>780</v>
      </c>
      <c r="D238" s="376" t="s">
        <v>1047</v>
      </c>
    </row>
    <row r="239" spans="1:4">
      <c r="A239" s="7" t="str">
        <f t="shared" si="7"/>
        <v>Angaben für Mindesttierbesatz</v>
      </c>
      <c r="B239" t="s">
        <v>275</v>
      </c>
      <c r="C239" t="s">
        <v>276</v>
      </c>
      <c r="D239" s="376" t="s">
        <v>277</v>
      </c>
    </row>
    <row r="240" spans="1:4">
      <c r="A240" s="7" t="str">
        <f t="shared" si="7"/>
        <v>tierbesatz</v>
      </c>
      <c r="B240" t="s">
        <v>788</v>
      </c>
      <c r="C240" t="s">
        <v>843</v>
      </c>
      <c r="D240" s="376" t="s">
        <v>1153</v>
      </c>
    </row>
    <row r="241" spans="1:5">
      <c r="A241" s="7" t="str">
        <f t="shared" si="7"/>
        <v>Dauergrünland</v>
      </c>
      <c r="B241" t="s">
        <v>783</v>
      </c>
      <c r="C241" t="s">
        <v>789</v>
      </c>
      <c r="D241" s="376" t="s">
        <v>1157</v>
      </c>
    </row>
    <row r="242" spans="1:5">
      <c r="A242" s="7" t="str">
        <f t="shared" si="7"/>
        <v>Kunstwiesen</v>
      </c>
      <c r="B242" t="s">
        <v>782</v>
      </c>
      <c r="C242" t="s">
        <v>845</v>
      </c>
      <c r="D242" s="376" t="s">
        <v>1048</v>
      </c>
    </row>
    <row r="243" spans="1:5">
      <c r="A243" s="7" t="str">
        <f t="shared" si="7"/>
        <v>BFF</v>
      </c>
      <c r="B243" t="s">
        <v>784</v>
      </c>
      <c r="C243" t="s">
        <v>786</v>
      </c>
      <c r="D243" s="376" t="s">
        <v>786</v>
      </c>
    </row>
    <row r="244" spans="1:5">
      <c r="A244" s="7" t="str">
        <f t="shared" si="7"/>
        <v>Talzone</v>
      </c>
      <c r="B244" t="s">
        <v>694</v>
      </c>
      <c r="C244" t="s">
        <v>680</v>
      </c>
      <c r="D244" s="376" t="s">
        <v>927</v>
      </c>
    </row>
    <row r="245" spans="1:5">
      <c r="A245" s="7" t="str">
        <f t="shared" si="7"/>
        <v>Hügelzone</v>
      </c>
      <c r="B245" t="s">
        <v>695</v>
      </c>
      <c r="C245" t="s">
        <v>696</v>
      </c>
      <c r="D245" s="376" t="s">
        <v>928</v>
      </c>
    </row>
    <row r="246" spans="1:5">
      <c r="A246" s="7" t="str">
        <f t="shared" si="7"/>
        <v>Bergzone 1</v>
      </c>
      <c r="B246" t="s">
        <v>697</v>
      </c>
      <c r="C246" t="s">
        <v>698</v>
      </c>
      <c r="D246" s="376" t="s">
        <v>929</v>
      </c>
    </row>
    <row r="247" spans="1:5">
      <c r="A247" s="7" t="str">
        <f t="shared" si="7"/>
        <v>Bergzone 2</v>
      </c>
      <c r="B247" t="s">
        <v>699</v>
      </c>
      <c r="C247" t="s">
        <v>700</v>
      </c>
      <c r="D247" s="376" t="s">
        <v>930</v>
      </c>
    </row>
    <row r="248" spans="1:5">
      <c r="A248" s="7" t="str">
        <f t="shared" si="7"/>
        <v>Bergzone 3</v>
      </c>
      <c r="B248" t="s">
        <v>701</v>
      </c>
      <c r="C248" t="s">
        <v>707</v>
      </c>
      <c r="D248" s="376" t="s">
        <v>931</v>
      </c>
    </row>
    <row r="249" spans="1:5">
      <c r="A249" s="7" t="str">
        <f t="shared" si="7"/>
        <v>Bergzone 4</v>
      </c>
      <c r="B249" t="s">
        <v>708</v>
      </c>
      <c r="C249" s="404" t="s">
        <v>709</v>
      </c>
      <c r="D249" s="559" t="s">
        <v>932</v>
      </c>
    </row>
    <row r="250" spans="1:5">
      <c r="A250" s="7" t="str">
        <f t="shared" si="7"/>
        <v>Flächen im Ausland</v>
      </c>
      <c r="B250" t="s">
        <v>1208</v>
      </c>
      <c r="C250" s="404" t="s">
        <v>1207</v>
      </c>
      <c r="D250" s="559" t="s">
        <v>1209</v>
      </c>
    </row>
    <row r="251" spans="1:5">
      <c r="A251" s="7" t="str">
        <f t="shared" si="7"/>
        <v>Flächendifferenz von:</v>
      </c>
      <c r="B251" t="s">
        <v>787</v>
      </c>
      <c r="C251" s="404" t="s">
        <v>846</v>
      </c>
      <c r="D251" s="559" t="s">
        <v>1049</v>
      </c>
    </row>
    <row r="252" spans="1:5">
      <c r="A252" s="7" t="str">
        <f t="shared" si="7"/>
        <v>BFF-Fläche zu hoch</v>
      </c>
      <c r="B252" t="s">
        <v>1217</v>
      </c>
      <c r="C252" s="404" t="s">
        <v>1227</v>
      </c>
      <c r="D252" s="559" t="s">
        <v>1226</v>
      </c>
    </row>
    <row r="253" spans="1:5">
      <c r="A253" s="7" t="str">
        <f t="shared" ref="A253:A292" si="8">IF($A$2=1,B253,IF($A$2=2,C253,IF($A$2=3,D253,"")))</f>
        <v>Haben Sie keine BFF?</v>
      </c>
      <c r="B253" t="s">
        <v>1218</v>
      </c>
      <c r="C253" s="404" t="s">
        <v>1224</v>
      </c>
      <c r="D253" s="559" t="s">
        <v>1225</v>
      </c>
    </row>
    <row r="254" spans="1:5">
      <c r="A254" s="7" t="str">
        <f t="shared" si="8"/>
        <v>Grundfutterbilanz ist nicht ausgeglichen!</v>
      </c>
      <c r="B254" t="s">
        <v>638</v>
      </c>
      <c r="C254" s="404" t="s">
        <v>639</v>
      </c>
      <c r="D254" s="559" t="s">
        <v>184</v>
      </c>
      <c r="E254" s="376" t="s">
        <v>1013</v>
      </c>
    </row>
    <row r="255" spans="1:5">
      <c r="A255" s="7" t="str">
        <f t="shared" si="8"/>
        <v>Wiesenertrag erfassen!</v>
      </c>
      <c r="B255" t="s">
        <v>1352</v>
      </c>
      <c r="C255" s="7" t="s">
        <v>1353</v>
      </c>
      <c r="D255" s="376" t="s">
        <v>1354</v>
      </c>
      <c r="E255" s="376"/>
    </row>
    <row r="256" spans="1:5">
      <c r="A256" s="7" t="str">
        <f t="shared" si="8"/>
        <v>Mutterkuh &amp; Kalb</v>
      </c>
      <c r="B256" s="404" t="s">
        <v>1075</v>
      </c>
      <c r="C256" s="404" t="s">
        <v>1230</v>
      </c>
      <c r="D256" s="155" t="s">
        <v>1261</v>
      </c>
      <c r="E256" s="376"/>
    </row>
    <row r="257" spans="1:5">
      <c r="A257" s="7" t="str">
        <f t="shared" si="8"/>
        <v>davon verfüttert an</v>
      </c>
      <c r="B257" s="404" t="s">
        <v>702</v>
      </c>
      <c r="C257" s="404" t="s">
        <v>1259</v>
      </c>
      <c r="D257" s="155" t="s">
        <v>1145</v>
      </c>
      <c r="E257" s="376"/>
    </row>
    <row r="258" spans="1:5">
      <c r="A258" s="7" t="str">
        <f t="shared" si="8"/>
        <v>Mutterkuh &amp; Kalb dt TS</v>
      </c>
      <c r="B258" s="404" t="s">
        <v>703</v>
      </c>
      <c r="C258" s="404" t="s">
        <v>1260</v>
      </c>
      <c r="D258" s="155" t="s">
        <v>1146</v>
      </c>
      <c r="E258" s="376"/>
    </row>
    <row r="259" spans="1:5">
      <c r="A259" s="7" t="str">
        <f t="shared" si="8"/>
        <v>Menge GF für Kuh &amp; Kalb &gt; Menge GF produziert auf Betrieb</v>
      </c>
      <c r="B259" s="404" t="s">
        <v>500</v>
      </c>
      <c r="C259" s="404" t="s">
        <v>1262</v>
      </c>
      <c r="D259" s="155" t="s">
        <v>1147</v>
      </c>
      <c r="E259" s="376"/>
    </row>
    <row r="260" spans="1:5" ht="16.5">
      <c r="A260" s="7">
        <f t="shared" si="8"/>
        <v>0</v>
      </c>
      <c r="C260" s="404"/>
      <c r="D260" s="374"/>
    </row>
    <row r="261" spans="1:5" s="75" customFormat="1">
      <c r="A261" s="75" t="str">
        <f t="shared" si="8"/>
        <v>Teil C: Zu- und Wegfuhr Grundfutter</v>
      </c>
      <c r="B261" s="75" t="s">
        <v>515</v>
      </c>
      <c r="C261" s="75" t="s">
        <v>847</v>
      </c>
      <c r="D261" s="375" t="s">
        <v>1050</v>
      </c>
    </row>
    <row r="262" spans="1:5">
      <c r="A262" s="7" t="str">
        <f t="shared" si="8"/>
        <v>Grundfutterverzehr auf dem Betrieb</v>
      </c>
      <c r="B262" t="s">
        <v>366</v>
      </c>
      <c r="C262" s="7" t="s">
        <v>848</v>
      </c>
      <c r="D262" s="376" t="s">
        <v>1051</v>
      </c>
    </row>
    <row r="263" spans="1:5">
      <c r="A263" s="7" t="str">
        <f t="shared" si="8"/>
        <v>Zu- und Wegfuhr von Grundfutter und Grundfutterproduktion ausserhalb der Futterfläche (FF)</v>
      </c>
      <c r="B263" t="s">
        <v>587</v>
      </c>
      <c r="C263" t="s">
        <v>736</v>
      </c>
      <c r="D263" s="376" t="s">
        <v>1148</v>
      </c>
    </row>
    <row r="264" spans="1:5">
      <c r="A264" s="7" t="str">
        <f t="shared" si="8"/>
        <v>Grundfuttertyp</v>
      </c>
      <c r="B264" t="s">
        <v>563</v>
      </c>
      <c r="C264" t="s">
        <v>737</v>
      </c>
      <c r="D264" s="376" t="s">
        <v>1052</v>
      </c>
    </row>
    <row r="265" spans="1:5">
      <c r="A265" s="7" t="str">
        <f t="shared" si="8"/>
        <v>Menge</v>
      </c>
      <c r="B265" t="s">
        <v>608</v>
      </c>
      <c r="C265" t="s">
        <v>738</v>
      </c>
      <c r="D265" s="376" t="s">
        <v>1053</v>
      </c>
    </row>
    <row r="266" spans="1:5">
      <c r="A266" s="7" t="str">
        <f t="shared" si="8"/>
        <v>dt</v>
      </c>
      <c r="B266" t="s">
        <v>765</v>
      </c>
      <c r="C266" t="s">
        <v>765</v>
      </c>
      <c r="D266" s="376" t="s">
        <v>969</v>
      </c>
    </row>
    <row r="267" spans="1:5">
      <c r="A267" s="7" t="str">
        <f t="shared" si="8"/>
        <v>%</v>
      </c>
      <c r="B267" t="s">
        <v>767</v>
      </c>
      <c r="C267" t="s">
        <v>739</v>
      </c>
      <c r="D267" s="376" t="s">
        <v>767</v>
      </c>
    </row>
    <row r="268" spans="1:5">
      <c r="A268" s="7" t="str">
        <f t="shared" si="8"/>
        <v>TS</v>
      </c>
      <c r="B268" t="s">
        <v>664</v>
      </c>
      <c r="C268" t="s">
        <v>743</v>
      </c>
      <c r="D268" s="376" t="s">
        <v>1054</v>
      </c>
    </row>
    <row r="269" spans="1:5">
      <c r="A269" s="7" t="str">
        <f t="shared" si="8"/>
        <v>Code</v>
      </c>
      <c r="B269" t="s">
        <v>554</v>
      </c>
      <c r="C269" t="s">
        <v>554</v>
      </c>
      <c r="D269" s="376" t="s">
        <v>1055</v>
      </c>
    </row>
    <row r="270" spans="1:5">
      <c r="A270" s="7" t="str">
        <f t="shared" si="8"/>
        <v>Wegfuhr</v>
      </c>
      <c r="B270" t="s">
        <v>591</v>
      </c>
      <c r="C270" t="s">
        <v>740</v>
      </c>
      <c r="D270" s="376" t="s">
        <v>1056</v>
      </c>
    </row>
    <row r="271" spans="1:5">
      <c r="A271" s="7" t="str">
        <f t="shared" si="8"/>
        <v>dt TS</v>
      </c>
      <c r="B271" t="s">
        <v>546</v>
      </c>
      <c r="C271" t="s">
        <v>627</v>
      </c>
      <c r="D271" s="376" t="s">
        <v>965</v>
      </c>
    </row>
    <row r="272" spans="1:5">
      <c r="A272" s="7" t="str">
        <f t="shared" si="8"/>
        <v>dt FS</v>
      </c>
      <c r="B272" t="s">
        <v>588</v>
      </c>
      <c r="C272" t="s">
        <v>589</v>
      </c>
      <c r="D272" s="376" t="s">
        <v>963</v>
      </c>
    </row>
    <row r="273" spans="1:4">
      <c r="A273" s="7" t="str">
        <f t="shared" si="8"/>
        <v>TS</v>
      </c>
      <c r="B273" t="s">
        <v>664</v>
      </c>
      <c r="C273" t="s">
        <v>590</v>
      </c>
      <c r="D273" s="376" t="s">
        <v>1054</v>
      </c>
    </row>
    <row r="274" spans="1:4">
      <c r="A274" s="7" t="str">
        <f t="shared" si="8"/>
        <v>Zufuhr</v>
      </c>
      <c r="B274" t="s">
        <v>592</v>
      </c>
      <c r="C274" t="s">
        <v>741</v>
      </c>
      <c r="D274" s="376" t="s">
        <v>1057</v>
      </c>
    </row>
    <row r="275" spans="1:4">
      <c r="A275" s="7" t="str">
        <f t="shared" si="8"/>
        <v>ausser FF</v>
      </c>
      <c r="B275" t="s">
        <v>769</v>
      </c>
      <c r="C275" t="s">
        <v>742</v>
      </c>
      <c r="D275" s="376" t="s">
        <v>1058</v>
      </c>
    </row>
    <row r="276" spans="1:4">
      <c r="A276" s="7" t="str">
        <f t="shared" si="8"/>
        <v>dt TS)</v>
      </c>
      <c r="B276" t="s">
        <v>595</v>
      </c>
      <c r="C276" t="s">
        <v>753</v>
      </c>
      <c r="D276" s="376" t="s">
        <v>1059</v>
      </c>
    </row>
    <row r="277" spans="1:4">
      <c r="A277" s="7" t="str">
        <f t="shared" si="8"/>
        <v>Gras</v>
      </c>
      <c r="B277" t="s">
        <v>379</v>
      </c>
      <c r="C277" t="s">
        <v>381</v>
      </c>
      <c r="D277" s="376" t="s">
        <v>1060</v>
      </c>
    </row>
    <row r="278" spans="1:4">
      <c r="A278" s="7" t="str">
        <f t="shared" si="8"/>
        <v>Grassilage</v>
      </c>
      <c r="B278" t="s">
        <v>528</v>
      </c>
      <c r="C278" t="s">
        <v>529</v>
      </c>
      <c r="D278" s="376" t="s">
        <v>1061</v>
      </c>
    </row>
    <row r="279" spans="1:4">
      <c r="A279" s="7" t="str">
        <f t="shared" si="8"/>
        <v>Graswürfel</v>
      </c>
      <c r="B279" t="s">
        <v>380</v>
      </c>
      <c r="C279" t="s">
        <v>849</v>
      </c>
      <c r="D279" s="376" t="s">
        <v>1129</v>
      </c>
    </row>
    <row r="280" spans="1:4">
      <c r="A280" s="7" t="str">
        <f t="shared" si="8"/>
        <v>Dürrfutter</v>
      </c>
      <c r="B280" t="s">
        <v>593</v>
      </c>
      <c r="C280" t="s">
        <v>747</v>
      </c>
      <c r="D280" s="376" t="s">
        <v>1062</v>
      </c>
    </row>
    <row r="281" spans="1:4">
      <c r="A281" s="7" t="str">
        <f t="shared" si="8"/>
        <v>Dürrfutter, "nährstoffarm"</v>
      </c>
      <c r="B281" t="s">
        <v>594</v>
      </c>
      <c r="C281" t="s">
        <v>749</v>
      </c>
      <c r="D281" s="376" t="s">
        <v>1131</v>
      </c>
    </row>
    <row r="282" spans="1:4">
      <c r="A282" s="7" t="str">
        <f t="shared" si="8"/>
        <v>Getreide-Silage</v>
      </c>
      <c r="B282" t="s">
        <v>473</v>
      </c>
      <c r="C282" t="s">
        <v>471</v>
      </c>
      <c r="D282" s="376" t="s">
        <v>89</v>
      </c>
    </row>
    <row r="283" spans="1:4">
      <c r="A283" s="7" t="str">
        <f t="shared" si="8"/>
        <v>Getreide-Silage mit Leguminosen</v>
      </c>
      <c r="B283" t="s">
        <v>474</v>
      </c>
      <c r="C283" t="s">
        <v>472</v>
      </c>
      <c r="D283" s="376" t="s">
        <v>88</v>
      </c>
    </row>
    <row r="284" spans="1:4">
      <c r="A284" s="7" t="str">
        <f t="shared" si="8"/>
        <v>Silomais</v>
      </c>
      <c r="B284" t="s">
        <v>669</v>
      </c>
      <c r="C284" t="s">
        <v>726</v>
      </c>
      <c r="D284" s="376" t="s">
        <v>1019</v>
      </c>
    </row>
    <row r="285" spans="1:4">
      <c r="A285" s="7" t="str">
        <f t="shared" si="8"/>
        <v>Grünmais</v>
      </c>
      <c r="B285" t="s">
        <v>556</v>
      </c>
      <c r="C285" t="s">
        <v>850</v>
      </c>
      <c r="D285" s="376" t="s">
        <v>1020</v>
      </c>
    </row>
    <row r="286" spans="1:4">
      <c r="A286" s="7" t="str">
        <f t="shared" si="8"/>
        <v>Mais Ganzpflanzenwürfel</v>
      </c>
      <c r="B286" t="s">
        <v>382</v>
      </c>
      <c r="C286" t="s">
        <v>851</v>
      </c>
      <c r="D286" s="376" t="s">
        <v>1130</v>
      </c>
    </row>
    <row r="287" spans="1:4">
      <c r="A287" s="7" t="str">
        <f t="shared" si="8"/>
        <v>CCM (für Rindviehmast)</v>
      </c>
      <c r="B287" t="s">
        <v>564</v>
      </c>
      <c r="C287" t="s">
        <v>852</v>
      </c>
      <c r="D287" s="376" t="s">
        <v>1063</v>
      </c>
    </row>
    <row r="288" spans="1:4">
      <c r="A288" s="7" t="str">
        <f t="shared" si="8"/>
        <v>Ganzpflanzen-Sorghum</v>
      </c>
      <c r="B288" t="s">
        <v>1326</v>
      </c>
      <c r="C288" t="s">
        <v>1375</v>
      </c>
      <c r="D288" s="376" t="s">
        <v>1327</v>
      </c>
    </row>
    <row r="289" spans="1:6">
      <c r="A289" s="7" t="str">
        <f t="shared" si="8"/>
        <v>Ganzpflanzen-Sorghum (2. Kultur)</v>
      </c>
      <c r="B289" t="s">
        <v>1328</v>
      </c>
      <c r="C289" s="7" t="s">
        <v>1376</v>
      </c>
      <c r="D289" s="376" t="s">
        <v>1329</v>
      </c>
    </row>
    <row r="290" spans="1:6">
      <c r="A290" s="7" t="str">
        <f t="shared" si="8"/>
        <v>Futterrüben</v>
      </c>
      <c r="B290" t="s">
        <v>670</v>
      </c>
      <c r="C290" t="s">
        <v>750</v>
      </c>
      <c r="D290" s="376" t="s">
        <v>1064</v>
      </c>
    </row>
    <row r="291" spans="1:6">
      <c r="A291" s="7" t="str">
        <f t="shared" si="8"/>
        <v>Zuckerrüben</v>
      </c>
      <c r="B291" t="s">
        <v>722</v>
      </c>
      <c r="C291" t="s">
        <v>751</v>
      </c>
      <c r="D291" s="376" t="s">
        <v>1065</v>
      </c>
    </row>
    <row r="292" spans="1:6">
      <c r="A292" s="7" t="str">
        <f t="shared" si="8"/>
        <v>Zuckerrübenschnitzel, frisch</v>
      </c>
      <c r="B292" t="s">
        <v>383</v>
      </c>
      <c r="C292" t="s">
        <v>384</v>
      </c>
      <c r="D292" s="376" t="s">
        <v>1066</v>
      </c>
    </row>
    <row r="293" spans="1:6">
      <c r="A293" s="7" t="str">
        <f t="shared" ref="A293:A339" si="9">IF($A$2=1,B293,IF($A$2=2,C293,IF($A$2=3,D293,"")))</f>
        <v>Zuckerrübenschnitzel, siliert</v>
      </c>
      <c r="B293" t="s">
        <v>385</v>
      </c>
      <c r="C293" t="s">
        <v>387</v>
      </c>
      <c r="D293" s="376" t="s">
        <v>1067</v>
      </c>
    </row>
    <row r="294" spans="1:6">
      <c r="A294" s="7" t="str">
        <f t="shared" si="9"/>
        <v>Zuckerrübenschnitzel, getrocknet</v>
      </c>
      <c r="B294" t="s">
        <v>386</v>
      </c>
      <c r="C294" t="s">
        <v>392</v>
      </c>
      <c r="D294" s="376" t="s">
        <v>1068</v>
      </c>
    </row>
    <row r="295" spans="1:6">
      <c r="A295" s="7" t="str">
        <f t="shared" si="9"/>
        <v>Rübenblätter</v>
      </c>
      <c r="B295" t="s">
        <v>388</v>
      </c>
      <c r="C295" s="7" t="s">
        <v>853</v>
      </c>
      <c r="D295" s="376" t="s">
        <v>1128</v>
      </c>
    </row>
    <row r="296" spans="1:6">
      <c r="A296" s="7" t="str">
        <f t="shared" si="9"/>
        <v>Kartoffeln</v>
      </c>
      <c r="B296" t="s">
        <v>396</v>
      </c>
      <c r="C296" t="s">
        <v>752</v>
      </c>
      <c r="D296" s="376" t="s">
        <v>1069</v>
      </c>
    </row>
    <row r="297" spans="1:6">
      <c r="A297" s="7" t="str">
        <f t="shared" si="9"/>
        <v>Chicorée-Wurzeln</v>
      </c>
      <c r="B297" t="s">
        <v>389</v>
      </c>
      <c r="C297" t="s">
        <v>391</v>
      </c>
      <c r="D297" s="376" t="s">
        <v>1077</v>
      </c>
    </row>
    <row r="298" spans="1:6">
      <c r="A298" s="7" t="str">
        <f t="shared" si="9"/>
        <v>Abgang Obst- / Gemüseverwertung</v>
      </c>
      <c r="B298" t="s">
        <v>390</v>
      </c>
      <c r="C298" s="7" t="s">
        <v>854</v>
      </c>
      <c r="D298" s="376" t="s">
        <v>1078</v>
      </c>
    </row>
    <row r="299" spans="1:6">
      <c r="A299" s="7" t="str">
        <f t="shared" si="9"/>
        <v>Biertreber, frisch oder siliert</v>
      </c>
      <c r="B299" t="s">
        <v>100</v>
      </c>
      <c r="C299" s="7" t="s">
        <v>156</v>
      </c>
      <c r="D299" s="7" t="s">
        <v>155</v>
      </c>
    </row>
    <row r="300" spans="1:6">
      <c r="A300" s="7" t="str">
        <f t="shared" si="9"/>
        <v>Zufuhr von Stroh zur Verfütterung</v>
      </c>
      <c r="B300" t="s">
        <v>1228</v>
      </c>
      <c r="C300" t="s">
        <v>855</v>
      </c>
      <c r="D300" s="376" t="s">
        <v>1079</v>
      </c>
    </row>
    <row r="301" spans="1:6">
      <c r="A301" s="7" t="str">
        <f t="shared" si="9"/>
        <v>Biertreber, getrocknet</v>
      </c>
      <c r="B301" t="s">
        <v>101</v>
      </c>
      <c r="C301" s="7" t="s">
        <v>153</v>
      </c>
      <c r="D301" s="376" t="s">
        <v>154</v>
      </c>
    </row>
    <row r="302" spans="1:6">
      <c r="A302" s="7" t="str">
        <f t="shared" si="9"/>
        <v>Nebenprodukte Trocken- und Schälmüllerei</v>
      </c>
      <c r="B302" t="s">
        <v>90</v>
      </c>
      <c r="C302" s="7" t="s">
        <v>151</v>
      </c>
      <c r="D302" s="376" t="s">
        <v>152</v>
      </c>
    </row>
    <row r="303" spans="1:6">
      <c r="A303" s="7" t="str">
        <f t="shared" si="9"/>
        <v>C1: Total Wegfuhr Wiesen und Weidefutter</v>
      </c>
      <c r="B303" t="s">
        <v>660</v>
      </c>
      <c r="C303" t="s">
        <v>856</v>
      </c>
      <c r="D303" s="376" t="s">
        <v>1080</v>
      </c>
      <c r="F303" t="s">
        <v>562</v>
      </c>
    </row>
    <row r="304" spans="1:6">
      <c r="A304" s="7" t="str">
        <f t="shared" si="9"/>
        <v>C2: Total Wegfuhr übrige Grundfutter</v>
      </c>
      <c r="B304" t="s">
        <v>367</v>
      </c>
      <c r="C304" t="s">
        <v>857</v>
      </c>
      <c r="D304" s="376" t="s">
        <v>1081</v>
      </c>
    </row>
    <row r="305" spans="1:5">
      <c r="A305" s="7" t="str">
        <f t="shared" si="9"/>
        <v>C3: Total Zufuhr Wiesen- und Weidefutter</v>
      </c>
      <c r="B305" t="s">
        <v>661</v>
      </c>
      <c r="C305" t="s">
        <v>861</v>
      </c>
      <c r="D305" s="376" t="s">
        <v>1082</v>
      </c>
    </row>
    <row r="306" spans="1:5">
      <c r="A306" s="7" t="str">
        <f t="shared" si="9"/>
        <v>C4: Total Zufuhr übrige Grundfutter</v>
      </c>
      <c r="B306" t="s">
        <v>368</v>
      </c>
      <c r="C306" s="7" t="s">
        <v>862</v>
      </c>
      <c r="D306" s="376" t="s">
        <v>1083</v>
      </c>
    </row>
    <row r="307" spans="1:5">
      <c r="A307" s="7" t="str">
        <f t="shared" si="9"/>
        <v>C5: Grundfutterproduktion ausserhalb der Futterfläche</v>
      </c>
      <c r="B307" t="s">
        <v>369</v>
      </c>
      <c r="C307" t="s">
        <v>863</v>
      </c>
      <c r="D307" s="376" t="s">
        <v>1084</v>
      </c>
    </row>
    <row r="308" spans="1:5">
      <c r="A308" s="7" t="str">
        <f t="shared" si="9"/>
        <v>C6: Total Zufuhr Nebenprodukte aus Verarbeitung Lebensmittel</v>
      </c>
      <c r="B308" t="s">
        <v>106</v>
      </c>
      <c r="C308" t="s">
        <v>1278</v>
      </c>
      <c r="D308" s="376" t="s">
        <v>1282</v>
      </c>
    </row>
    <row r="309" spans="1:5">
      <c r="A309" s="7" t="str">
        <f t="shared" si="9"/>
        <v>Total Netto-Grundfutterbedarf</v>
      </c>
      <c r="B309" t="s">
        <v>596</v>
      </c>
      <c r="C309" t="s">
        <v>756</v>
      </c>
      <c r="D309" s="376" t="s">
        <v>1085</v>
      </c>
    </row>
    <row r="310" spans="1:5">
      <c r="A310" s="7" t="str">
        <f t="shared" si="9"/>
        <v>C7: Zuzüglich Lagerungs- und Krippenverluste, 0-5% vom Netto-Grundfutterbedarf</v>
      </c>
      <c r="B310" s="86" t="s">
        <v>94</v>
      </c>
      <c r="C310" s="86" t="s">
        <v>96</v>
      </c>
      <c r="D310" s="376" t="s">
        <v>98</v>
      </c>
    </row>
    <row r="311" spans="1:5">
      <c r="A311" s="7" t="str">
        <f t="shared" si="9"/>
        <v>C8: Fehlerbereich der Grundfutterbilanz: 0-5% vom Netto-Grundfutterbedarf</v>
      </c>
      <c r="B311" s="86" t="s">
        <v>95</v>
      </c>
      <c r="C311" s="86" t="s">
        <v>97</v>
      </c>
      <c r="D311" s="376" t="s">
        <v>99</v>
      </c>
    </row>
    <row r="312" spans="1:5">
      <c r="A312" s="7" t="str">
        <f t="shared" si="9"/>
        <v>Total auf der Futterfläche zu produzierendes Grundfutter (GFprod)</v>
      </c>
      <c r="B312" t="s">
        <v>597</v>
      </c>
      <c r="C312" t="s">
        <v>864</v>
      </c>
      <c r="D312" s="376" t="s">
        <v>1086</v>
      </c>
    </row>
    <row r="313" spans="1:5">
      <c r="A313" s="7" t="str">
        <f t="shared" si="9"/>
        <v>Mutterkuh &amp; Kalb</v>
      </c>
      <c r="B313" s="404" t="s">
        <v>1075</v>
      </c>
      <c r="C313" t="s">
        <v>1230</v>
      </c>
      <c r="D313" s="155" t="s">
        <v>1261</v>
      </c>
    </row>
    <row r="314" spans="1:5">
      <c r="A314" s="7" t="str">
        <f t="shared" si="9"/>
        <v>davon verfüttert an</v>
      </c>
      <c r="B314" s="404" t="s">
        <v>702</v>
      </c>
      <c r="C314" s="404" t="s">
        <v>1259</v>
      </c>
      <c r="D314" s="155" t="s">
        <v>1145</v>
      </c>
    </row>
    <row r="315" spans="1:5">
      <c r="A315" s="7" t="str">
        <f t="shared" si="9"/>
        <v>Mutterkuh &amp; Kalb</v>
      </c>
      <c r="B315" s="404" t="s">
        <v>1075</v>
      </c>
      <c r="C315" s="404" t="s">
        <v>1000</v>
      </c>
      <c r="D315" s="155" t="s">
        <v>1146</v>
      </c>
    </row>
    <row r="316" spans="1:5">
      <c r="A316" s="7" t="str">
        <f t="shared" si="9"/>
        <v>Menge</v>
      </c>
      <c r="B316" s="404" t="s">
        <v>608</v>
      </c>
      <c r="C316" t="s">
        <v>1231</v>
      </c>
      <c r="D316" s="155" t="s">
        <v>1149</v>
      </c>
    </row>
    <row r="317" spans="1:5">
      <c r="A317" s="7" t="str">
        <f t="shared" si="9"/>
        <v>dt TS</v>
      </c>
      <c r="B317" t="s">
        <v>546</v>
      </c>
      <c r="C317" t="s">
        <v>627</v>
      </c>
      <c r="D317" s="155" t="s">
        <v>965</v>
      </c>
    </row>
    <row r="318" spans="1:5">
      <c r="A318" s="7" t="str">
        <f t="shared" si="9"/>
        <v>Menge GF für Kuh &amp; Kalb &gt; Menge GF zugeführt/prod. ausserh. FF</v>
      </c>
      <c r="B318" t="s">
        <v>501</v>
      </c>
      <c r="C318" s="404" t="s">
        <v>705</v>
      </c>
      <c r="D318" s="155" t="s">
        <v>1150</v>
      </c>
      <c r="E318" s="376"/>
    </row>
    <row r="319" spans="1:5">
      <c r="A319" s="7"/>
      <c r="D319" s="376"/>
    </row>
    <row r="320" spans="1:5" s="75" customFormat="1">
      <c r="A320" s="75" t="str">
        <f t="shared" si="9"/>
        <v>Teil D: Bilanz</v>
      </c>
      <c r="B320" s="75" t="s">
        <v>653</v>
      </c>
      <c r="C320" s="75" t="s">
        <v>865</v>
      </c>
      <c r="D320" s="375" t="s">
        <v>1087</v>
      </c>
    </row>
    <row r="321" spans="1:5">
      <c r="A321" s="7" t="str">
        <f t="shared" si="9"/>
        <v>Gesamtverzehr</v>
      </c>
      <c r="B321" t="s">
        <v>643</v>
      </c>
      <c r="C321" t="s">
        <v>499</v>
      </c>
      <c r="D321" s="376" t="s">
        <v>1088</v>
      </c>
    </row>
    <row r="322" spans="1:5">
      <c r="A322" s="7" t="str">
        <f t="shared" si="9"/>
        <v>[+] Verluste und Fehlerbereich</v>
      </c>
      <c r="B322" t="s">
        <v>352</v>
      </c>
      <c r="C322" s="404" t="s">
        <v>353</v>
      </c>
      <c r="D322" s="376" t="s">
        <v>1089</v>
      </c>
    </row>
    <row r="323" spans="1:5">
      <c r="A323" s="7" t="str">
        <f t="shared" si="9"/>
        <v>[+] Verzehr während Sömmerung</v>
      </c>
      <c r="B323" t="s">
        <v>433</v>
      </c>
      <c r="C323" s="404" t="s">
        <v>434</v>
      </c>
      <c r="D323" s="155" t="s">
        <v>1042</v>
      </c>
    </row>
    <row r="324" spans="1:5">
      <c r="A324" s="7" t="str">
        <f t="shared" si="9"/>
        <v>Produktion</v>
      </c>
      <c r="B324" t="s">
        <v>640</v>
      </c>
      <c r="C324" s="404" t="s">
        <v>619</v>
      </c>
      <c r="D324" s="376" t="s">
        <v>1090</v>
      </c>
    </row>
    <row r="325" spans="1:5">
      <c r="A325" s="7" t="str">
        <f t="shared" si="9"/>
        <v>[+] Zufuhr</v>
      </c>
      <c r="B325" t="s">
        <v>641</v>
      </c>
      <c r="C325" s="404" t="s">
        <v>492</v>
      </c>
      <c r="D325" s="376" t="s">
        <v>1091</v>
      </c>
    </row>
    <row r="326" spans="1:5">
      <c r="A326" s="7" t="str">
        <f t="shared" si="9"/>
        <v>[+] Futter während Sömmerung</v>
      </c>
      <c r="B326" t="s">
        <v>435</v>
      </c>
      <c r="C326" s="404" t="s">
        <v>272</v>
      </c>
      <c r="D326" s="155" t="s">
        <v>1043</v>
      </c>
    </row>
    <row r="327" spans="1:5">
      <c r="A327" s="7" t="str">
        <f t="shared" si="9"/>
        <v>[-] Wegfuhr</v>
      </c>
      <c r="B327" t="s">
        <v>642</v>
      </c>
      <c r="C327" s="404" t="s">
        <v>493</v>
      </c>
      <c r="D327" s="376" t="s">
        <v>1056</v>
      </c>
    </row>
    <row r="328" spans="1:5">
      <c r="A328" s="7" t="str">
        <f t="shared" si="9"/>
        <v>[-] Grundfutter übrige Tiere</v>
      </c>
      <c r="B328" t="s">
        <v>644</v>
      </c>
      <c r="C328" t="s">
        <v>866</v>
      </c>
      <c r="D328" s="376" t="s">
        <v>1092</v>
      </c>
    </row>
    <row r="329" spans="1:5">
      <c r="A329" s="7" t="str">
        <f t="shared" si="9"/>
        <v xml:space="preserve">Bilanz                                      </v>
      </c>
      <c r="B329" t="s">
        <v>645</v>
      </c>
      <c r="C329" t="s">
        <v>494</v>
      </c>
      <c r="D329" s="376" t="s">
        <v>1093</v>
      </c>
    </row>
    <row r="330" spans="1:5" ht="12.75" customHeight="1">
      <c r="A330" s="7" t="str">
        <f t="shared" si="9"/>
        <v>Erforderliche Anteile an der Ration</v>
      </c>
      <c r="B330" t="s">
        <v>46</v>
      </c>
      <c r="C330" s="7" t="s">
        <v>285</v>
      </c>
      <c r="D330" s="7" t="s">
        <v>270</v>
      </c>
      <c r="E330" s="491"/>
    </row>
    <row r="331" spans="1:5" ht="12.75" customHeight="1">
      <c r="A331" s="7" t="str">
        <f t="shared" si="9"/>
        <v>Nebenprodukte+Kraftfutter ≤</v>
      </c>
      <c r="B331" s="7" t="s">
        <v>157</v>
      </c>
      <c r="C331" s="7" t="s">
        <v>1279</v>
      </c>
      <c r="D331" s="7" t="s">
        <v>1280</v>
      </c>
      <c r="E331" s="491"/>
    </row>
    <row r="332" spans="1:5">
      <c r="A332" s="7" t="str">
        <f t="shared" si="9"/>
        <v>Total</v>
      </c>
      <c r="B332" t="s">
        <v>727</v>
      </c>
      <c r="C332" t="s">
        <v>356</v>
      </c>
      <c r="D332" s="376" t="s">
        <v>964</v>
      </c>
      <c r="E332" s="491"/>
    </row>
    <row r="333" spans="1:5">
      <c r="A333" s="7" t="str">
        <f t="shared" si="9"/>
        <v>Bedarf</v>
      </c>
      <c r="B333" t="s">
        <v>537</v>
      </c>
      <c r="C333" t="s">
        <v>357</v>
      </c>
      <c r="D333" s="376" t="s">
        <v>1094</v>
      </c>
    </row>
    <row r="334" spans="1:5">
      <c r="A334" s="7" t="str">
        <f t="shared" si="9"/>
        <v>Wiesen- und</v>
      </c>
      <c r="B334" t="s">
        <v>687</v>
      </c>
      <c r="C334" t="s">
        <v>879</v>
      </c>
      <c r="D334" s="376" t="s">
        <v>1095</v>
      </c>
    </row>
    <row r="335" spans="1:5">
      <c r="A335" s="7" t="str">
        <f t="shared" si="9"/>
        <v>Weidefutter</v>
      </c>
      <c r="B335" t="s">
        <v>770</v>
      </c>
      <c r="C335" t="s">
        <v>867</v>
      </c>
      <c r="D335" s="376" t="s">
        <v>1096</v>
      </c>
    </row>
    <row r="336" spans="1:5">
      <c r="A336" s="7" t="str">
        <f t="shared" si="9"/>
        <v>Übriges Grundfutter</v>
      </c>
      <c r="B336" t="s">
        <v>646</v>
      </c>
      <c r="C336" s="7" t="s">
        <v>1281</v>
      </c>
      <c r="D336" s="376" t="s">
        <v>1097</v>
      </c>
    </row>
    <row r="337" spans="1:4">
      <c r="A337" s="7" t="str">
        <f t="shared" si="9"/>
        <v>total</v>
      </c>
      <c r="B337" t="s">
        <v>626</v>
      </c>
      <c r="C337" t="s">
        <v>1229</v>
      </c>
      <c r="D337" s="376" t="s">
        <v>626</v>
      </c>
    </row>
    <row r="338" spans="1:4">
      <c r="A338" s="7" t="str">
        <f t="shared" si="9"/>
        <v>Rau- und Saftfutter</v>
      </c>
      <c r="B338" t="s">
        <v>91</v>
      </c>
      <c r="C338" s="7" t="s">
        <v>170</v>
      </c>
      <c r="D338" s="376" t="s">
        <v>172</v>
      </c>
    </row>
    <row r="339" spans="1:4">
      <c r="A339" s="7" t="str">
        <f t="shared" si="9"/>
        <v>Nebenprodukte</v>
      </c>
      <c r="B339" t="s">
        <v>92</v>
      </c>
      <c r="C339" s="7" t="s">
        <v>169</v>
      </c>
      <c r="D339" s="376" t="s">
        <v>171</v>
      </c>
    </row>
    <row r="340" spans="1:4">
      <c r="A340" s="7" t="str">
        <f t="shared" ref="A340:A389" si="10">IF($A$2=1,B340,IF($A$2=2,C340,IF($A$2=3,D340,"")))</f>
        <v>Kraftfutter</v>
      </c>
      <c r="B340" t="s">
        <v>620</v>
      </c>
      <c r="C340" t="s">
        <v>869</v>
      </c>
      <c r="D340" s="376" t="s">
        <v>1163</v>
      </c>
    </row>
    <row r="341" spans="1:4">
      <c r="A341" s="7" t="str">
        <f t="shared" si="10"/>
        <v>(A4+A7 in TS)</v>
      </c>
      <c r="B341" t="s">
        <v>437</v>
      </c>
      <c r="C341" t="s">
        <v>475</v>
      </c>
      <c r="D341" s="376" t="s">
        <v>476</v>
      </c>
    </row>
    <row r="342" spans="1:4">
      <c r="A342" s="7" t="str">
        <f t="shared" si="10"/>
        <v>RGVE/ha Grünl.</v>
      </c>
      <c r="B342" t="s">
        <v>725</v>
      </c>
      <c r="C342" t="s">
        <v>549</v>
      </c>
      <c r="D342" s="376" t="s">
        <v>1098</v>
      </c>
    </row>
    <row r="343" spans="1:4">
      <c r="A343" s="7" t="str">
        <f t="shared" si="10"/>
        <v>Wegfuhr ist grösser als Produktion</v>
      </c>
      <c r="B343" t="s">
        <v>1204</v>
      </c>
      <c r="C343" s="404" t="s">
        <v>341</v>
      </c>
      <c r="D343" s="7" t="s">
        <v>52</v>
      </c>
    </row>
    <row r="344" spans="1:4" ht="14.25">
      <c r="A344" s="7" t="str">
        <f t="shared" si="10"/>
        <v>Erfüllung der erforderlichen Anteile an der Ration</v>
      </c>
      <c r="B344" t="s">
        <v>69</v>
      </c>
      <c r="C344" s="7" t="s">
        <v>286</v>
      </c>
      <c r="D344" s="7" t="s">
        <v>271</v>
      </c>
    </row>
    <row r="345" spans="1:4">
      <c r="A345" s="7" t="str">
        <f t="shared" si="10"/>
        <v>Erforderlicher Mindesttierbesatz (RGVE/ha Grünfläche) für 100 % der GMF-Beiträge</v>
      </c>
      <c r="B345" t="s">
        <v>1203</v>
      </c>
      <c r="C345" s="420" t="s">
        <v>51</v>
      </c>
      <c r="D345" s="7" t="s">
        <v>50</v>
      </c>
    </row>
    <row r="346" spans="1:4">
      <c r="A346" s="7" t="str">
        <f t="shared" si="10"/>
        <v xml:space="preserve">      ja</v>
      </c>
      <c r="B346" t="s">
        <v>1359</v>
      </c>
      <c r="C346" s="7" t="s">
        <v>1364</v>
      </c>
      <c r="D346" s="376" t="s">
        <v>1363</v>
      </c>
    </row>
    <row r="347" spans="1:4">
      <c r="A347" s="7" t="str">
        <f t="shared" si="10"/>
        <v xml:space="preserve">    nein</v>
      </c>
      <c r="B347" t="s">
        <v>1360</v>
      </c>
      <c r="C347" s="7" t="s">
        <v>1365</v>
      </c>
      <c r="D347" s="376" t="s">
        <v>1362</v>
      </c>
    </row>
    <row r="348" spans="1:4">
      <c r="A348" s="7" t="str">
        <f t="shared" si="10"/>
        <v>Die Herstellerin der Software oder die Beratung übernehmen keine Verantwortung, für Schäden, die aus der Nutzung der Software entstehen.</v>
      </c>
      <c r="B348" t="s">
        <v>880</v>
      </c>
      <c r="C348" t="s">
        <v>881</v>
      </c>
      <c r="D348" s="376" t="s">
        <v>1162</v>
      </c>
    </row>
    <row r="349" spans="1:4">
      <c r="A349" s="7" t="str">
        <f t="shared" si="10"/>
        <v>Dieses Instrument dient als Nachweis für die Erfüllung der Anforderungen an die Futterbilanz für das Programm der GMF.</v>
      </c>
      <c r="B349" t="s">
        <v>1173</v>
      </c>
      <c r="C349" s="404" t="s">
        <v>342</v>
      </c>
      <c r="D349" s="155" t="s">
        <v>49</v>
      </c>
    </row>
    <row r="350" spans="1:4">
      <c r="A350" s="7" t="str">
        <f t="shared" si="10"/>
        <v>Ort und Datum:</v>
      </c>
      <c r="B350" t="s">
        <v>495</v>
      </c>
      <c r="C350" t="s">
        <v>497</v>
      </c>
      <c r="D350" s="376" t="s">
        <v>1099</v>
      </c>
    </row>
    <row r="351" spans="1:4">
      <c r="A351" s="7" t="str">
        <f t="shared" si="10"/>
        <v>Unterschrift:</v>
      </c>
      <c r="B351" t="s">
        <v>496</v>
      </c>
      <c r="C351" t="s">
        <v>498</v>
      </c>
      <c r="D351" s="376" t="s">
        <v>1100</v>
      </c>
    </row>
    <row r="352" spans="1:4">
      <c r="A352" s="7">
        <f t="shared" si="10"/>
        <v>0</v>
      </c>
      <c r="D352" s="376"/>
    </row>
    <row r="353" spans="1:4" s="75" customFormat="1">
      <c r="A353" s="75" t="str">
        <f t="shared" si="10"/>
        <v>Bilanz für Mutterkuh &amp; Kalb</v>
      </c>
      <c r="B353" s="75" t="s">
        <v>1074</v>
      </c>
      <c r="C353" s="75" t="s">
        <v>1005</v>
      </c>
      <c r="D353" s="375" t="s">
        <v>1006</v>
      </c>
    </row>
    <row r="354" spans="1:4">
      <c r="A354" s="7" t="str">
        <f t="shared" si="10"/>
        <v>Total</v>
      </c>
      <c r="B354" t="s">
        <v>727</v>
      </c>
      <c r="C354" t="s">
        <v>356</v>
      </c>
      <c r="D354" s="376" t="s">
        <v>964</v>
      </c>
    </row>
    <row r="355" spans="1:4">
      <c r="A355" s="7" t="str">
        <f t="shared" si="10"/>
        <v>Bedarf</v>
      </c>
      <c r="B355" t="s">
        <v>537</v>
      </c>
      <c r="C355" t="s">
        <v>357</v>
      </c>
      <c r="D355" s="376" t="s">
        <v>1094</v>
      </c>
    </row>
    <row r="356" spans="1:4">
      <c r="A356" s="7" t="str">
        <f t="shared" si="10"/>
        <v>Wiesen- &amp;</v>
      </c>
      <c r="B356" s="7" t="s">
        <v>161</v>
      </c>
      <c r="C356" s="7" t="s">
        <v>164</v>
      </c>
      <c r="D356" s="376" t="s">
        <v>1095</v>
      </c>
    </row>
    <row r="357" spans="1:4">
      <c r="A357" s="7" t="str">
        <f t="shared" si="10"/>
        <v>Weidefutter</v>
      </c>
      <c r="B357" t="s">
        <v>770</v>
      </c>
      <c r="C357" s="7" t="s">
        <v>163</v>
      </c>
      <c r="D357" s="376" t="s">
        <v>1096</v>
      </c>
    </row>
    <row r="358" spans="1:4">
      <c r="A358" s="7" t="str">
        <f t="shared" si="10"/>
        <v>.</v>
      </c>
      <c r="B358" t="s">
        <v>165</v>
      </c>
      <c r="C358" s="7" t="s">
        <v>162</v>
      </c>
      <c r="D358" s="376" t="s">
        <v>165</v>
      </c>
    </row>
    <row r="359" spans="1:4">
      <c r="A359" s="7" t="str">
        <f t="shared" si="10"/>
        <v>Übriges</v>
      </c>
      <c r="B359" s="7" t="s">
        <v>159</v>
      </c>
      <c r="C359" t="s">
        <v>868</v>
      </c>
      <c r="D359" s="376" t="s">
        <v>167</v>
      </c>
    </row>
    <row r="360" spans="1:4">
      <c r="A360" s="7" t="str">
        <f t="shared" si="10"/>
        <v xml:space="preserve">Grundfutter </v>
      </c>
      <c r="B360" s="7" t="s">
        <v>160</v>
      </c>
      <c r="C360" s="7" t="s">
        <v>168</v>
      </c>
      <c r="D360" s="376" t="s">
        <v>166</v>
      </c>
    </row>
    <row r="361" spans="1:4">
      <c r="A361" s="7" t="str">
        <f t="shared" si="10"/>
        <v>total</v>
      </c>
      <c r="B361" s="7" t="s">
        <v>626</v>
      </c>
      <c r="C361" s="7" t="s">
        <v>626</v>
      </c>
      <c r="D361" s="7" t="s">
        <v>626</v>
      </c>
    </row>
    <row r="362" spans="1:4">
      <c r="A362" s="7" t="str">
        <f t="shared" si="10"/>
        <v>Kraftfutter</v>
      </c>
      <c r="B362" t="s">
        <v>620</v>
      </c>
      <c r="C362" t="s">
        <v>869</v>
      </c>
      <c r="D362" s="376" t="s">
        <v>1163</v>
      </c>
    </row>
    <row r="363" spans="1:4">
      <c r="A363" s="7" t="str">
        <f t="shared" si="10"/>
        <v>Erfüllung Mutterkuh &amp; Kalb</v>
      </c>
      <c r="B363" s="404" t="s">
        <v>1076</v>
      </c>
      <c r="C363" s="404" t="s">
        <v>704</v>
      </c>
      <c r="D363" s="155" t="s">
        <v>1152</v>
      </c>
    </row>
    <row r="364" spans="1:4">
      <c r="A364" s="7" t="str">
        <f t="shared" si="10"/>
        <v>ja</v>
      </c>
      <c r="B364" t="s">
        <v>486</v>
      </c>
      <c r="C364" t="s">
        <v>487</v>
      </c>
      <c r="D364" s="376" t="s">
        <v>946</v>
      </c>
    </row>
    <row r="365" spans="1:4">
      <c r="A365" s="7" t="str">
        <f t="shared" si="10"/>
        <v>nein</v>
      </c>
      <c r="B365" t="s">
        <v>488</v>
      </c>
      <c r="C365" t="s">
        <v>489</v>
      </c>
      <c r="D365" s="376" t="s">
        <v>947</v>
      </c>
    </row>
    <row r="366" spans="1:4">
      <c r="A366" s="7" t="str">
        <f t="shared" si="10"/>
        <v>Bilanz übrige Raufutterverzehrer</v>
      </c>
      <c r="B366" t="s">
        <v>706</v>
      </c>
      <c r="C366" t="s">
        <v>1007</v>
      </c>
      <c r="D366" s="155" t="s">
        <v>1263</v>
      </c>
    </row>
    <row r="367" spans="1:4">
      <c r="A367" s="7" t="str">
        <f t="shared" si="10"/>
        <v>Bitte Teil Mutterkuh&amp;Kalb ausfüllen, auch "0"</v>
      </c>
      <c r="B367" t="s">
        <v>303</v>
      </c>
      <c r="C367" t="s">
        <v>304</v>
      </c>
      <c r="D367" s="155" t="s">
        <v>1151</v>
      </c>
    </row>
    <row r="368" spans="1:4">
      <c r="A368" s="7" t="str">
        <f t="shared" si="10"/>
        <v>Anteile Bilanz Mutterkühe &gt; Gesamtbilanz</v>
      </c>
      <c r="B368" t="s">
        <v>1366</v>
      </c>
      <c r="C368" s="7" t="s">
        <v>1368</v>
      </c>
      <c r="D368" s="7" t="s">
        <v>1367</v>
      </c>
    </row>
    <row r="369" spans="1:4">
      <c r="A369" s="7"/>
      <c r="D369" s="376"/>
    </row>
    <row r="370" spans="1:4">
      <c r="A370" s="75" t="s">
        <v>1118</v>
      </c>
      <c r="D370" s="376"/>
    </row>
    <row r="371" spans="1:4" s="75" customFormat="1">
      <c r="A371" s="7" t="str">
        <f t="shared" si="10"/>
        <v>Tiernormen</v>
      </c>
      <c r="B371" s="75" t="s">
        <v>349</v>
      </c>
      <c r="C371" s="75" t="s">
        <v>557</v>
      </c>
      <c r="D371" s="375" t="s">
        <v>1101</v>
      </c>
    </row>
    <row r="372" spans="1:4">
      <c r="A372" s="7" t="str">
        <f t="shared" si="10"/>
        <v>Tierkategorie</v>
      </c>
      <c r="B372" t="s">
        <v>527</v>
      </c>
      <c r="C372" t="s">
        <v>622</v>
      </c>
      <c r="D372" s="376" t="s">
        <v>1102</v>
      </c>
    </row>
    <row r="373" spans="1:4">
      <c r="A373" s="7" t="str">
        <f t="shared" si="10"/>
        <v>Einheit</v>
      </c>
      <c r="B373" t="s">
        <v>545</v>
      </c>
      <c r="C373" t="s">
        <v>764</v>
      </c>
      <c r="D373" s="376" t="s">
        <v>949</v>
      </c>
    </row>
    <row r="374" spans="1:4">
      <c r="A374" s="7" t="str">
        <f t="shared" si="10"/>
        <v>Grundfutter-</v>
      </c>
      <c r="B374" t="s">
        <v>673</v>
      </c>
      <c r="C374" t="s">
        <v>621</v>
      </c>
      <c r="D374" s="376" t="s">
        <v>960</v>
      </c>
    </row>
    <row r="375" spans="1:4">
      <c r="A375" s="7" t="str">
        <f t="shared" si="10"/>
        <v>verzehr</v>
      </c>
      <c r="B375" t="s">
        <v>672</v>
      </c>
      <c r="C375" t="s">
        <v>558</v>
      </c>
      <c r="D375" s="376" t="s">
        <v>1103</v>
      </c>
    </row>
    <row r="376" spans="1:4">
      <c r="A376" s="7" t="str">
        <f t="shared" si="10"/>
        <v>TS/Tag</v>
      </c>
      <c r="B376" t="s">
        <v>350</v>
      </c>
      <c r="C376" t="s">
        <v>559</v>
      </c>
      <c r="D376" s="376" t="s">
        <v>1104</v>
      </c>
    </row>
    <row r="377" spans="1:4">
      <c r="A377" s="7" t="str">
        <f t="shared" si="10"/>
        <v>TS/Jahr</v>
      </c>
      <c r="B377" t="s">
        <v>351</v>
      </c>
      <c r="C377" t="s">
        <v>354</v>
      </c>
      <c r="D377" s="376" t="s">
        <v>1105</v>
      </c>
    </row>
    <row r="378" spans="1:4">
      <c r="A378" s="7" t="str">
        <f t="shared" si="10"/>
        <v>GVE</v>
      </c>
      <c r="B378" t="s">
        <v>585</v>
      </c>
      <c r="C378" t="s">
        <v>536</v>
      </c>
      <c r="D378" s="376" t="s">
        <v>1106</v>
      </c>
    </row>
    <row r="379" spans="1:4">
      <c r="A379" s="7" t="str">
        <f t="shared" si="10"/>
        <v>Faktoren</v>
      </c>
      <c r="B379" t="s">
        <v>355</v>
      </c>
      <c r="C379" t="s">
        <v>586</v>
      </c>
      <c r="D379" s="376" t="s">
        <v>1107</v>
      </c>
    </row>
    <row r="380" spans="1:4">
      <c r="A380" s="7" t="str">
        <f t="shared" si="10"/>
        <v>Einheit</v>
      </c>
      <c r="B380" t="s">
        <v>545</v>
      </c>
      <c r="C380" t="s">
        <v>535</v>
      </c>
      <c r="D380" s="376" t="s">
        <v>949</v>
      </c>
    </row>
    <row r="381" spans="1:4">
      <c r="A381" s="7" t="str">
        <f t="shared" si="10"/>
        <v>100 Pl.</v>
      </c>
      <c r="B381" t="s">
        <v>692</v>
      </c>
      <c r="C381" t="s">
        <v>681</v>
      </c>
      <c r="D381" s="376" t="s">
        <v>1108</v>
      </c>
    </row>
    <row r="382" spans="1:4">
      <c r="A382" s="7" t="str">
        <f t="shared" si="10"/>
        <v>1 Stück</v>
      </c>
      <c r="B382" t="s">
        <v>676</v>
      </c>
      <c r="C382" t="s">
        <v>674</v>
      </c>
      <c r="D382" s="376" t="s">
        <v>1109</v>
      </c>
    </row>
    <row r="383" spans="1:4">
      <c r="A383" s="7" t="str">
        <f t="shared" si="10"/>
        <v>1 Platz</v>
      </c>
      <c r="B383" t="s">
        <v>677</v>
      </c>
      <c r="C383" t="s">
        <v>675</v>
      </c>
      <c r="D383" s="376" t="s">
        <v>1110</v>
      </c>
    </row>
    <row r="384" spans="1:4">
      <c r="A384" s="7" t="str">
        <f t="shared" si="10"/>
        <v>Grenzwerte:</v>
      </c>
      <c r="B384" t="s">
        <v>791</v>
      </c>
      <c r="C384" t="s">
        <v>795</v>
      </c>
      <c r="D384" s="155" t="s">
        <v>1161</v>
      </c>
    </row>
    <row r="385" spans="1:4">
      <c r="A385" s="7" t="str">
        <f t="shared" si="10"/>
        <v>Talgebiet</v>
      </c>
      <c r="B385" t="s">
        <v>793</v>
      </c>
      <c r="C385" t="s">
        <v>796</v>
      </c>
      <c r="D385" s="155" t="s">
        <v>1160</v>
      </c>
    </row>
    <row r="386" spans="1:4">
      <c r="A386" s="7" t="str">
        <f t="shared" si="10"/>
        <v>Berggebiet</v>
      </c>
      <c r="B386" t="s">
        <v>794</v>
      </c>
      <c r="C386" t="s">
        <v>797</v>
      </c>
      <c r="D386" s="155" t="s">
        <v>1159</v>
      </c>
    </row>
    <row r="387" spans="1:4">
      <c r="A387" s="7" t="str">
        <f t="shared" si="10"/>
        <v>rot = nicht erfüllt</v>
      </c>
      <c r="B387" t="s">
        <v>792</v>
      </c>
      <c r="C387" t="s">
        <v>798</v>
      </c>
      <c r="D387" s="155" t="s">
        <v>1158</v>
      </c>
    </row>
    <row r="388" spans="1:4">
      <c r="A388" s="7" t="str">
        <f t="shared" si="10"/>
        <v>Keine Gebietszuteilung</v>
      </c>
      <c r="B388" t="s">
        <v>1174</v>
      </c>
      <c r="C388" s="404" t="s">
        <v>343</v>
      </c>
      <c r="D388" s="7" t="s">
        <v>53</v>
      </c>
    </row>
    <row r="389" spans="1:4">
      <c r="A389" s="7" t="str">
        <f t="shared" si="10"/>
        <v>Grundfutter</v>
      </c>
      <c r="B389" t="s">
        <v>507</v>
      </c>
      <c r="C389" s="404" t="s">
        <v>508</v>
      </c>
      <c r="D389" s="7" t="s">
        <v>509</v>
      </c>
    </row>
    <row r="390" spans="1:4">
      <c r="D390" s="7"/>
    </row>
    <row r="391" spans="1:4">
      <c r="A391" s="75" t="s">
        <v>54</v>
      </c>
      <c r="D391" s="155"/>
    </row>
    <row r="392" spans="1:4">
      <c r="A392" s="7" t="str">
        <f t="shared" ref="A392:A397" si="11">IF($A$2=1,B392,IF($A$2=2,C392,IF($A$2=3,D392,"")))</f>
        <v>Informationsteil</v>
      </c>
      <c r="B392" s="7" t="s">
        <v>68</v>
      </c>
      <c r="C392" s="7" t="s">
        <v>75</v>
      </c>
      <c r="D392" s="7" t="s">
        <v>1238</v>
      </c>
    </row>
    <row r="393" spans="1:4">
      <c r="A393" s="7" t="str">
        <f t="shared" si="11"/>
        <v xml:space="preserve">Die Berechnung des massgebenden Tierbesatzes für die Futterbilanz basiert auf dem effektiven </v>
      </c>
      <c r="B393" s="47" t="s">
        <v>1332</v>
      </c>
      <c r="C393" s="7" t="s">
        <v>1333</v>
      </c>
      <c r="D393" s="7" t="s">
        <v>1334</v>
      </c>
    </row>
    <row r="394" spans="1:4">
      <c r="A394" s="7" t="str">
        <f t="shared" si="11"/>
        <v xml:space="preserve">Tierbestand in der Periode vom 1.1.-31.12.. Weil dieser zur Zeit noch nicht bekannt ist, </v>
      </c>
      <c r="B394" s="7" t="s">
        <v>1337</v>
      </c>
      <c r="C394" s="7" t="s">
        <v>1336</v>
      </c>
      <c r="D394" s="7" t="s">
        <v>1335</v>
      </c>
    </row>
    <row r="395" spans="1:4">
      <c r="A395" s="7" t="str">
        <f t="shared" si="11"/>
        <v>ist die Höhe der Beiträge nur eine Schätzung.</v>
      </c>
      <c r="B395" t="s">
        <v>183</v>
      </c>
      <c r="C395" s="7" t="s">
        <v>182</v>
      </c>
      <c r="D395" s="7" t="s">
        <v>1248</v>
      </c>
    </row>
    <row r="396" spans="1:4">
      <c r="A396" s="7" t="str">
        <f t="shared" si="11"/>
        <v>RGVE effektiv auf dem Betrieb</v>
      </c>
      <c r="B396" s="421" t="s">
        <v>289</v>
      </c>
      <c r="C396" s="421" t="s">
        <v>55</v>
      </c>
      <c r="D396" s="421" t="s">
        <v>56</v>
      </c>
    </row>
    <row r="397" spans="1:4">
      <c r="A397" s="7" t="str">
        <f t="shared" si="11"/>
        <v>Effektiver Mindesttierbesatz (RGVE/ha Grünfläche)</v>
      </c>
      <c r="B397" s="7" t="s">
        <v>57</v>
      </c>
      <c r="C397" s="7" t="s">
        <v>58</v>
      </c>
      <c r="D397" s="7" t="s">
        <v>59</v>
      </c>
    </row>
    <row r="398" spans="1:4">
      <c r="A398" s="7" t="str">
        <f t="shared" ref="A398:A412" si="12">IF($A$2=1,B398,IF($A$2=2,C398,IF($A$2=3,D398,"")))</f>
        <v>Erfüllung des Anteils … an der Ration</v>
      </c>
      <c r="B398" s="7" t="s">
        <v>290</v>
      </c>
      <c r="C398" s="7" t="s">
        <v>74</v>
      </c>
      <c r="D398" s="7" t="s">
        <v>1239</v>
      </c>
    </row>
    <row r="399" spans="1:4">
      <c r="A399" s="7" t="str">
        <f t="shared" si="12"/>
        <v xml:space="preserve">  - Wiesen- und Weidefutter</v>
      </c>
      <c r="B399" s="7" t="s">
        <v>291</v>
      </c>
      <c r="C399" s="7" t="s">
        <v>294</v>
      </c>
      <c r="D399" s="7" t="s">
        <v>1240</v>
      </c>
    </row>
    <row r="400" spans="1:4">
      <c r="A400" s="7" t="str">
        <f t="shared" si="12"/>
        <v xml:space="preserve">  - übriges Grundfutter</v>
      </c>
      <c r="B400" s="7" t="s">
        <v>292</v>
      </c>
      <c r="C400" s="7" t="s">
        <v>295</v>
      </c>
      <c r="D400" s="7" t="s">
        <v>1241</v>
      </c>
    </row>
    <row r="401" spans="1:4">
      <c r="A401" s="7" t="str">
        <f t="shared" si="12"/>
        <v xml:space="preserve">  - Kraftfutter</v>
      </c>
      <c r="B401" s="7" t="s">
        <v>293</v>
      </c>
      <c r="C401" s="7" t="s">
        <v>296</v>
      </c>
      <c r="D401" s="7" t="s">
        <v>1242</v>
      </c>
    </row>
    <row r="402" spans="1:4">
      <c r="A402" s="7" t="str">
        <f t="shared" si="12"/>
        <v>Erfüllung des Mindesttierbesatzes für</v>
      </c>
      <c r="B402" s="7" t="s">
        <v>60</v>
      </c>
      <c r="C402" s="7" t="s">
        <v>61</v>
      </c>
      <c r="D402" s="7" t="s">
        <v>62</v>
      </c>
    </row>
    <row r="403" spans="1:4">
      <c r="A403" s="7" t="str">
        <f t="shared" si="12"/>
        <v>% der GMF-Beiträge</v>
      </c>
      <c r="B403" s="7" t="s">
        <v>299</v>
      </c>
      <c r="C403" s="7" t="s">
        <v>311</v>
      </c>
      <c r="D403" s="7" t="s">
        <v>63</v>
      </c>
    </row>
    <row r="404" spans="1:4">
      <c r="A404" s="7" t="str">
        <f t="shared" si="12"/>
        <v xml:space="preserve">das entspricht etwa </v>
      </c>
      <c r="B404" s="7" t="s">
        <v>298</v>
      </c>
      <c r="C404" s="7" t="s">
        <v>177</v>
      </c>
      <c r="D404" s="7" t="s">
        <v>1243</v>
      </c>
    </row>
    <row r="405" spans="1:4">
      <c r="A405" s="7" t="str">
        <f t="shared" si="12"/>
        <v xml:space="preserve">Sie erhalten die Beiträge </v>
      </c>
      <c r="B405" s="7" t="s">
        <v>307</v>
      </c>
      <c r="C405" s="7" t="s">
        <v>178</v>
      </c>
      <c r="D405" s="7" t="s">
        <v>1244</v>
      </c>
    </row>
    <row r="406" spans="1:4">
      <c r="A406" s="7" t="str">
        <f t="shared" si="12"/>
        <v>teilweise</v>
      </c>
      <c r="B406" s="7" t="s">
        <v>64</v>
      </c>
      <c r="C406" s="7" t="s">
        <v>287</v>
      </c>
      <c r="D406" s="7" t="s">
        <v>65</v>
      </c>
    </row>
    <row r="407" spans="1:4">
      <c r="A407" s="7" t="str">
        <f t="shared" si="12"/>
        <v>vollständig</v>
      </c>
      <c r="B407" s="7" t="s">
        <v>66</v>
      </c>
      <c r="C407" s="7" t="s">
        <v>288</v>
      </c>
      <c r="D407" s="7" t="s">
        <v>67</v>
      </c>
    </row>
    <row r="408" spans="1:4">
      <c r="A408" s="7" t="str">
        <f t="shared" si="12"/>
        <v>nein</v>
      </c>
      <c r="B408" s="418" t="s">
        <v>488</v>
      </c>
      <c r="C408" s="7" t="s">
        <v>489</v>
      </c>
      <c r="D408" s="418" t="s">
        <v>947</v>
      </c>
    </row>
    <row r="409" spans="1:4">
      <c r="A409" s="7" t="str">
        <f t="shared" si="12"/>
        <v>ja</v>
      </c>
      <c r="B409" s="7" t="s">
        <v>486</v>
      </c>
      <c r="C409" s="7" t="s">
        <v>487</v>
      </c>
      <c r="D409" s="7" t="s">
        <v>297</v>
      </c>
    </row>
    <row r="410" spans="1:4">
      <c r="A410" s="7" t="str">
        <f t="shared" si="12"/>
        <v>Ihre Beiträge können nicht berechnet werden</v>
      </c>
      <c r="B410" s="7" t="s">
        <v>310</v>
      </c>
      <c r="C410" s="7" t="s">
        <v>179</v>
      </c>
      <c r="D410" s="7" t="s">
        <v>1245</v>
      </c>
    </row>
    <row r="411" spans="1:4">
      <c r="A411" s="7" t="str">
        <f t="shared" si="12"/>
        <v>Bitte tragen Sie die Anzahl RGVE Ihres Betriebes ein</v>
      </c>
      <c r="B411" s="7" t="s">
        <v>309</v>
      </c>
      <c r="C411" s="7" t="s">
        <v>180</v>
      </c>
      <c r="D411" s="7" t="s">
        <v>1246</v>
      </c>
    </row>
    <row r="412" spans="1:4">
      <c r="A412" s="7" t="str">
        <f t="shared" si="12"/>
        <v>Sie erhalten KEINE Beiträge</v>
      </c>
      <c r="B412" s="7" t="s">
        <v>308</v>
      </c>
      <c r="C412" s="7" t="s">
        <v>181</v>
      </c>
      <c r="D412" s="7" t="s">
        <v>1247</v>
      </c>
    </row>
    <row r="413" spans="1:4" ht="14.25">
      <c r="A413" s="7" t="str">
        <f>IF($A$2=1,B413,IF($A$2=2,C413,IF($A$2=3,D413,"")))</f>
        <v>Erfüllung der Anteile (Gras, Kraftfutter) der Ration</v>
      </c>
      <c r="B413" s="7" t="s">
        <v>70</v>
      </c>
      <c r="C413" s="422" t="s">
        <v>71</v>
      </c>
      <c r="D413" s="376" t="s">
        <v>72</v>
      </c>
    </row>
    <row r="414" spans="1:4">
      <c r="D414" s="155"/>
    </row>
    <row r="415" spans="1:4">
      <c r="A415" s="75" t="s">
        <v>282</v>
      </c>
      <c r="D415" s="155"/>
    </row>
    <row r="416" spans="1:4">
      <c r="A416" s="7" t="str">
        <f t="shared" ref="A416:A452" si="13">IF($A$2=1,B416,IF($A$2=2,C416,IF($A$2=3,D416,"")))</f>
        <v>Anpassung des eigenen Produktionssytems</v>
      </c>
      <c r="B416" t="s">
        <v>185</v>
      </c>
      <c r="C416" t="s">
        <v>186</v>
      </c>
      <c r="D416" s="155"/>
    </row>
    <row r="417" spans="1:4">
      <c r="A417" s="7" t="str">
        <f t="shared" si="13"/>
        <v>im Hinblick auf GMF</v>
      </c>
      <c r="B417" t="s">
        <v>187</v>
      </c>
      <c r="C417" t="s">
        <v>188</v>
      </c>
      <c r="D417" s="155"/>
    </row>
    <row r="418" spans="1:4">
      <c r="A418" s="7" t="str">
        <f t="shared" si="13"/>
        <v>Achtung: Die Berechnung basiert auf den Angaben des Bilanzblattes</v>
      </c>
      <c r="B418" t="s">
        <v>189</v>
      </c>
      <c r="C418" t="s">
        <v>190</v>
      </c>
      <c r="D418" s="155"/>
    </row>
    <row r="419" spans="1:4">
      <c r="A419" s="7" t="str">
        <f t="shared" si="13"/>
        <v>Erklärungen</v>
      </c>
      <c r="B419" t="s">
        <v>191</v>
      </c>
      <c r="C419" t="s">
        <v>192</v>
      </c>
      <c r="D419" s="155"/>
    </row>
    <row r="420" spans="1:4">
      <c r="A420" s="7" t="str">
        <f t="shared" si="13"/>
        <v>Falls die Bedingung der Kraftfutterrestriktion nicht erfüllt ist, stellt sich die Frage einer Verringerung des Kraftfuttereinsatzes</v>
      </c>
      <c r="B420" t="s">
        <v>193</v>
      </c>
      <c r="C420" t="s">
        <v>194</v>
      </c>
      <c r="D420" s="155"/>
    </row>
    <row r="421" spans="1:4">
      <c r="A421" s="7" t="str">
        <f t="shared" si="13"/>
        <v>Dieses Blatt zeigt die finanziellen Auswirkungen bei einer eventuellen Anpassung des Produktionssystems</v>
      </c>
      <c r="B421" t="s">
        <v>195</v>
      </c>
      <c r="C421" t="s">
        <v>196</v>
      </c>
      <c r="D421" s="155"/>
    </row>
    <row r="422" spans="1:4">
      <c r="A422" s="7" t="str">
        <f t="shared" si="13"/>
        <v>Prüfen Sie auf dem Bilanz-Blatt, ob ihre Anpassung (Teil A) die Erfüllung der Bedingungen</v>
      </c>
      <c r="B422" t="s">
        <v>197</v>
      </c>
      <c r="C422" t="s">
        <v>198</v>
      </c>
      <c r="D422" s="155"/>
    </row>
    <row r="423" spans="1:4">
      <c r="A423" s="7" t="str">
        <f t="shared" si="13"/>
        <v>von maximal 10% Kraftfutter (Teil D) bewirkt.</v>
      </c>
      <c r="B423" t="s">
        <v>199</v>
      </c>
      <c r="C423" t="s">
        <v>200</v>
      </c>
      <c r="D423" s="155"/>
    </row>
    <row r="424" spans="1:4">
      <c r="A424" s="7" t="str">
        <f t="shared" si="13"/>
        <v>Milchproduktion</v>
      </c>
      <c r="B424" t="s">
        <v>201</v>
      </c>
      <c r="C424" t="s">
        <v>202</v>
      </c>
      <c r="D424" s="155"/>
    </row>
    <row r="425" spans="1:4">
      <c r="A425" s="7" t="str">
        <f t="shared" si="13"/>
        <v>Mittlerer Herdendurchschnitt</v>
      </c>
      <c r="B425" t="s">
        <v>203</v>
      </c>
      <c r="C425" t="s">
        <v>204</v>
      </c>
      <c r="D425" s="155"/>
    </row>
    <row r="426" spans="1:4">
      <c r="A426" s="7" t="str">
        <f t="shared" si="13"/>
        <v>Angestrebte Milchleistung nach Anpassung</v>
      </c>
      <c r="B426" t="s">
        <v>205</v>
      </c>
      <c r="C426" t="s">
        <v>206</v>
      </c>
      <c r="D426" s="155"/>
    </row>
    <row r="427" spans="1:4">
      <c r="A427" s="7" t="str">
        <f t="shared" si="13"/>
        <v>Anzahl Kühe</v>
      </c>
      <c r="B427" t="s">
        <v>207</v>
      </c>
      <c r="C427" t="s">
        <v>208</v>
      </c>
      <c r="D427" s="155"/>
    </row>
    <row r="428" spans="1:4">
      <c r="A428" s="7" t="str">
        <f t="shared" si="13"/>
        <v>Auswirkungen auf die Mengen</v>
      </c>
      <c r="B428" t="s">
        <v>209</v>
      </c>
      <c r="C428" t="s">
        <v>210</v>
      </c>
      <c r="D428" s="155"/>
    </row>
    <row r="429" spans="1:4">
      <c r="A429" s="7" t="str">
        <f t="shared" si="13"/>
        <v>Verringerung der Milchproduktion total</v>
      </c>
      <c r="B429" t="s">
        <v>211</v>
      </c>
      <c r="C429" t="s">
        <v>212</v>
      </c>
      <c r="D429" s="155"/>
    </row>
    <row r="430" spans="1:4">
      <c r="A430" s="7" t="str">
        <f t="shared" si="13"/>
        <v>Reduktion des Kraftfuttereinsatzes pro Kuh</v>
      </c>
      <c r="B430" t="s">
        <v>213</v>
      </c>
      <c r="C430" t="s">
        <v>214</v>
      </c>
      <c r="D430" s="155"/>
    </row>
    <row r="431" spans="1:4">
      <c r="A431" s="7" t="str">
        <f t="shared" si="13"/>
        <v>Auswirkungen auf die Wirtschaftlichkeit</v>
      </c>
      <c r="B431" t="s">
        <v>215</v>
      </c>
      <c r="C431" t="s">
        <v>216</v>
      </c>
      <c r="D431" s="155"/>
    </row>
    <row r="432" spans="1:4">
      <c r="A432" s="7" t="str">
        <f t="shared" si="13"/>
        <v>Mindereinnahmen Milch</v>
      </c>
      <c r="B432" t="s">
        <v>217</v>
      </c>
      <c r="C432" t="s">
        <v>218</v>
      </c>
      <c r="D432" s="155"/>
    </row>
    <row r="433" spans="1:4">
      <c r="A433" s="7" t="str">
        <f t="shared" si="13"/>
        <v>Einsparung Kraftfutterkosten</v>
      </c>
      <c r="B433" t="s">
        <v>223</v>
      </c>
      <c r="C433" t="s">
        <v>224</v>
      </c>
      <c r="D433" s="155"/>
    </row>
    <row r="434" spans="1:4">
      <c r="A434" s="7" t="str">
        <f t="shared" si="13"/>
        <v>Beiträge GMF</v>
      </c>
      <c r="B434" t="s">
        <v>225</v>
      </c>
      <c r="C434" t="s">
        <v>226</v>
      </c>
      <c r="D434" s="155"/>
    </row>
    <row r="435" spans="1:4">
      <c r="A435" s="7" t="str">
        <f t="shared" si="13"/>
        <v>Bilanz</v>
      </c>
      <c r="B435" t="s">
        <v>551</v>
      </c>
      <c r="C435" t="s">
        <v>227</v>
      </c>
      <c r="D435" s="155"/>
    </row>
    <row r="436" spans="1:4">
      <c r="A436" s="7" t="str">
        <f t="shared" si="13"/>
        <v>kg Milch/Kuh</v>
      </c>
      <c r="B436" t="s">
        <v>228</v>
      </c>
      <c r="C436" t="s">
        <v>229</v>
      </c>
      <c r="D436" s="155"/>
    </row>
    <row r="437" spans="1:4">
      <c r="A437" s="7" t="str">
        <f t="shared" si="13"/>
        <v>Kühe</v>
      </c>
      <c r="B437" t="s">
        <v>230</v>
      </c>
      <c r="C437" t="s">
        <v>231</v>
      </c>
      <c r="D437" s="155"/>
    </row>
    <row r="438" spans="1:4">
      <c r="A438" s="7" t="str">
        <f t="shared" si="13"/>
        <v>kg Milch</v>
      </c>
      <c r="B438" t="s">
        <v>232</v>
      </c>
      <c r="C438" t="s">
        <v>233</v>
      </c>
      <c r="D438" s="155"/>
    </row>
    <row r="439" spans="1:4">
      <c r="A439" s="7" t="str">
        <f t="shared" si="13"/>
        <v>kg KF/Kuh</v>
      </c>
      <c r="B439" t="s">
        <v>234</v>
      </c>
      <c r="C439" t="s">
        <v>235</v>
      </c>
      <c r="D439" s="155"/>
    </row>
    <row r="440" spans="1:4">
      <c r="A440" s="7" t="str">
        <f t="shared" si="13"/>
        <v>Fr.</v>
      </c>
      <c r="B440" t="s">
        <v>236</v>
      </c>
      <c r="C440" t="s">
        <v>237</v>
      </c>
      <c r="D440" s="155"/>
    </row>
    <row r="441" spans="1:4">
      <c r="A441" s="7" t="str">
        <f t="shared" si="13"/>
        <v>Rp/kg</v>
      </c>
      <c r="B441" t="s">
        <v>238</v>
      </c>
      <c r="C441" t="s">
        <v>239</v>
      </c>
      <c r="D441" s="155"/>
    </row>
    <row r="442" spans="1:4">
      <c r="A442" s="7" t="str">
        <f t="shared" si="13"/>
        <v>Fr./dt</v>
      </c>
      <c r="B442" t="s">
        <v>240</v>
      </c>
      <c r="C442" t="s">
        <v>241</v>
      </c>
      <c r="D442" s="155"/>
    </row>
    <row r="443" spans="1:4">
      <c r="A443" s="7" t="str">
        <f t="shared" si="13"/>
        <v>Fr./ha</v>
      </c>
      <c r="B443" t="s">
        <v>242</v>
      </c>
      <c r="C443" t="s">
        <v>243</v>
      </c>
      <c r="D443" s="155"/>
    </row>
    <row r="444" spans="1:4">
      <c r="A444" s="7" t="str">
        <f t="shared" si="13"/>
        <v>siehe Erklärung*</v>
      </c>
      <c r="B444" t="s">
        <v>244</v>
      </c>
      <c r="C444" t="s">
        <v>245</v>
      </c>
      <c r="D444" s="155"/>
    </row>
    <row r="445" spans="1:4">
      <c r="A445" s="7" t="str">
        <f t="shared" si="13"/>
        <v>Preis</v>
      </c>
      <c r="B445" t="s">
        <v>246</v>
      </c>
      <c r="C445" t="s">
        <v>247</v>
      </c>
      <c r="D445" s="155"/>
    </row>
    <row r="446" spans="1:4">
      <c r="A446" s="7" t="str">
        <f t="shared" si="13"/>
        <v>Kraftfutterreduktion</v>
      </c>
      <c r="B446" t="s">
        <v>248</v>
      </c>
      <c r="C446" t="s">
        <v>249</v>
      </c>
      <c r="D446" s="155"/>
    </row>
    <row r="447" spans="1:4">
      <c r="A447" s="7" t="str">
        <f t="shared" si="13"/>
        <v>Reduzierte Milchleistung dividiert durch das MPP des KF ergibt eingesparte Kraftfuttermenge</v>
      </c>
      <c r="B447" t="s">
        <v>250</v>
      </c>
      <c r="C447" t="s">
        <v>251</v>
      </c>
      <c r="D447" s="155"/>
    </row>
    <row r="448" spans="1:4">
      <c r="A448" s="7" t="str">
        <f t="shared" si="13"/>
        <v>Annahme Milchleistungspotential = 2 kg Milch pro kg Kraftfutter*</v>
      </c>
      <c r="B448" t="s">
        <v>252</v>
      </c>
      <c r="C448" t="s">
        <v>253</v>
      </c>
      <c r="D448" s="155"/>
    </row>
    <row r="449" spans="1:4">
      <c r="A449" s="7" t="str">
        <f t="shared" si="13"/>
        <v>Beispiel:</v>
      </c>
      <c r="B449" t="s">
        <v>254</v>
      </c>
      <c r="C449" t="s">
        <v>255</v>
      </c>
      <c r="D449" s="155"/>
    </row>
    <row r="450" spans="1:4">
      <c r="A450" s="7" t="str">
        <f t="shared" si="13"/>
        <v>500 kg Milchleistungsreduktion / 2 (MPP KF) = 250 kg Kraftfuttereinsparung</v>
      </c>
      <c r="B450" t="s">
        <v>256</v>
      </c>
      <c r="C450" t="s">
        <v>257</v>
      </c>
      <c r="D450" s="155"/>
    </row>
    <row r="451" spans="1:4">
      <c r="A451" s="7" t="str">
        <f t="shared" si="13"/>
        <v>*Hinweis: die tatsächliche Milchleistungsänderung pro kg Kraftfuttereinsatz oder -einsparung</v>
      </c>
      <c r="B451" t="s">
        <v>258</v>
      </c>
      <c r="C451" t="s">
        <v>259</v>
      </c>
      <c r="D451" s="155"/>
    </row>
    <row r="452" spans="1:4">
      <c r="A452" s="7" t="str">
        <f t="shared" si="13"/>
        <v>kann je nach Rationszusammensetzung variieren zwischen ca. 1 und 3</v>
      </c>
      <c r="B452" t="s">
        <v>260</v>
      </c>
      <c r="C452" t="s">
        <v>261</v>
      </c>
      <c r="D452" s="155"/>
    </row>
  </sheetData>
  <sheetProtection password="98F7" sheet="1" objects="1" scenarios="1"/>
  <phoneticPr fontId="2" type="noConversion"/>
  <conditionalFormatting sqref="D396">
    <cfRule type="expression" dxfId="1" priority="1" stopIfTrue="1">
      <formula>ISBLANK(D396)</formula>
    </cfRule>
    <cfRule type="cellIs" dxfId="0" priority="2" stopIfTrue="1" operator="equal">
      <formula>$C396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5fe8fbc5cac7b207e902341ba544a36e">
  <xsd:schema xmlns:xsd="http://www.w3.org/2001/XMLSchema" xmlns:xs="http://www.w3.org/2001/XMLSchema" xmlns:p="http://schemas.microsoft.com/office/2006/metadata/properties" xmlns:ns2="558044cc-f176-4c91-a0e4-bc704674ebff" xmlns:ns3="f5ad5d93-4a2a-405e-907b-cf4548c560e3" targetNamespace="http://schemas.microsoft.com/office/2006/metadata/properties" ma:root="true" ma:fieldsID="5893891667fdb51cd2f60e55d6c4b5bf" ns2:_="" ns3:_="">
    <xsd:import namespace="558044cc-f176-4c91-a0e4-bc704674ebff"/>
    <xsd:import namespace="f5ad5d93-4a2a-405e-907b-cf4548c560e3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FB36D313-7F7E-4F74-A96F-A3BBDF1953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488CD-8594-4974-AF3F-6680E79C1E6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A99B54A-A62F-47A1-BF8C-F228BFD7E76F}"/>
</file>

<file path=customXml/itemProps4.xml><?xml version="1.0" encoding="utf-8"?>
<ds:datastoreItem xmlns:ds="http://schemas.openxmlformats.org/officeDocument/2006/customXml" ds:itemID="{D00A89D7-0DDE-4259-9BFC-3D8B9C51A15F}">
  <ds:schemaRefs>
    <ds:schemaRef ds:uri="http://purl.org/dc/dcmitype/"/>
    <ds:schemaRef ds:uri="http://schemas.microsoft.com/office/2006/metadata/properties"/>
    <ds:schemaRef ds:uri="http://www.w3.org/XML/1998/namespace"/>
    <ds:schemaRef ds:uri="c6edb1fb-9093-443c-8c9a-380ff756bee9"/>
    <ds:schemaRef ds:uri="931b810c-e1bd-460f-9377-b918a6c9e4ac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GMF-PLVH1.11</dc:title>
  <dc:creator>AGRIDEA</dc:creator>
  <cp:lastModifiedBy>Weyermann Irene</cp:lastModifiedBy>
  <cp:lastPrinted>2023-01-04T09:51:56Z</cp:lastPrinted>
  <dcterms:created xsi:type="dcterms:W3CDTF">2012-10-26T08:14:52Z</dcterms:created>
  <dcterms:modified xsi:type="dcterms:W3CDTF">2025-12-22T16:37:45Z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Weyermann Irene</vt:lpwstr>
  </property>
  <property fmtid="{D5CDD505-2E9C-101B-9397-08002B2CF9AE}" pid="3" name="Order">
    <vt:lpwstr>2484600.00000000</vt:lpwstr>
  </property>
  <property fmtid="{D5CDD505-2E9C-101B-9397-08002B2CF9AE}" pid="4" name="_ExtendedDescription">
    <vt:lpwstr/>
  </property>
  <property fmtid="{D5CDD505-2E9C-101B-9397-08002B2CF9AE}" pid="5" name="display_urn:schemas-microsoft-com:office:office#Author">
    <vt:lpwstr>Weyermann Irene</vt:lpwstr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ContentTypeId">
    <vt:lpwstr>0x0101002F9FFC2F4692C040A9D99914B314900F00F8DE37A190DCE44B9BE18384A85BBF0D</vt:lpwstr>
  </property>
  <property fmtid="{D5CDD505-2E9C-101B-9397-08002B2CF9AE}" pid="9" name="MediaServiceImageTags">
    <vt:lpwstr/>
  </property>
</Properties>
</file>