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DR Vorlagen FR\"/>
    </mc:Choice>
  </mc:AlternateContent>
  <xr:revisionPtr revIDLastSave="0" documentId="8_{69A404F4-8537-4876-BBDD-BD8C0DAA2F31}" xr6:coauthVersionLast="47" xr6:coauthVersionMax="47" xr10:uidLastSave="{00000000-0000-0000-0000-000000000000}"/>
  <bookViews>
    <workbookView xWindow="-110" yWindow="-110" windowWidth="19420" windowHeight="10300" xr2:uid="{00000000-000D-0000-FFFF-FFFF00000000}"/>
  </bookViews>
  <sheets>
    <sheet name="Compte des résultats" sheetId="10" r:id="rId1"/>
    <sheet name="Calcul contributions" sheetId="1" r:id="rId2"/>
    <sheet name="Exemples hypothèses" sheetId="9" r:id="rId3"/>
    <sheet name="Dropdown input" sheetId="11" state="hidden" r:id="rId4"/>
  </sheets>
  <definedNames>
    <definedName name="_GoBack" localSheetId="1">#REF!</definedName>
    <definedName name="_xlnm.Print_Area" localSheetId="1">'Calcul contributions'!$A$1:$AG$18</definedName>
    <definedName name="_xlnm.Print_Area" localSheetId="0">'Compte des résultats'!$A$1:$O$68</definedName>
    <definedName name="_xlnm.Print_Area" localSheetId="3">'Dropdown input'!$A$1:$S$59</definedName>
    <definedName name="_xlnm.Print_Area" localSheetId="2">'Exemples hypothèses'!$A$1:$P$127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10" l="1"/>
  <c r="K21" i="10"/>
  <c r="K22" i="10"/>
  <c r="K23" i="10"/>
  <c r="K24" i="10"/>
  <c r="K25" i="10"/>
  <c r="K19" i="10"/>
  <c r="C16" i="10"/>
  <c r="J26" i="10"/>
  <c r="C3" i="10"/>
  <c r="C4" i="10"/>
  <c r="C5" i="10"/>
  <c r="C6" i="10"/>
  <c r="C7" i="10"/>
  <c r="C8" i="10"/>
  <c r="E9" i="1" l="1"/>
  <c r="E10" i="1"/>
  <c r="E11" i="1"/>
  <c r="E12" i="1"/>
  <c r="E13" i="1"/>
  <c r="E14" i="1"/>
  <c r="E15" i="1"/>
  <c r="E27" i="1" l="1"/>
  <c r="G27" i="1"/>
  <c r="H27" i="1"/>
  <c r="Z27" i="1"/>
  <c r="E28" i="1"/>
  <c r="F28" i="1" s="1"/>
  <c r="M28" i="1" s="1"/>
  <c r="G28" i="1"/>
  <c r="H28" i="1"/>
  <c r="Z28" i="1"/>
  <c r="E29" i="1"/>
  <c r="F29" i="1" s="1"/>
  <c r="M29" i="1" s="1"/>
  <c r="G29" i="1"/>
  <c r="H29" i="1"/>
  <c r="Z29" i="1"/>
  <c r="B30" i="1"/>
  <c r="E30" i="1"/>
  <c r="G30" i="1"/>
  <c r="O30" i="1"/>
  <c r="U30" i="1"/>
  <c r="V30" i="1"/>
  <c r="W30" i="1"/>
  <c r="X30" i="1"/>
  <c r="K29" i="1" l="1"/>
  <c r="K28" i="1"/>
  <c r="I29" i="1"/>
  <c r="H30" i="1"/>
  <c r="I30" i="1" s="1"/>
  <c r="J28" i="1"/>
  <c r="J29" i="1"/>
  <c r="I27" i="1"/>
  <c r="I28" i="1"/>
  <c r="F27" i="1"/>
  <c r="K27" i="1" s="1"/>
  <c r="J27" i="1" l="1"/>
  <c r="M27" i="1"/>
  <c r="L29" i="1"/>
  <c r="N29" i="1" s="1"/>
  <c r="P29" i="1" s="1"/>
  <c r="Q29" i="1" s="1"/>
  <c r="R29" i="1" s="1"/>
  <c r="S29" i="1" s="1"/>
  <c r="T29" i="1" s="1"/>
  <c r="L28" i="1"/>
  <c r="N28" i="1" s="1"/>
  <c r="P28" i="1" s="1"/>
  <c r="Q28" i="1" s="1"/>
  <c r="R28" i="1" s="1"/>
  <c r="S28" i="1" s="1"/>
  <c r="T28" i="1" s="1"/>
  <c r="L27" i="1" l="1"/>
  <c r="N27" i="1" s="1"/>
  <c r="J30" i="1"/>
  <c r="L30" i="1" l="1"/>
  <c r="K30" i="1" s="1"/>
  <c r="N30" i="1" l="1"/>
  <c r="P27" i="1"/>
  <c r="Q27" i="1" s="1"/>
  <c r="R27" i="1" s="1"/>
  <c r="S27" i="1" s="1"/>
  <c r="T27" i="1" l="1"/>
  <c r="S30" i="1"/>
  <c r="M30" i="1"/>
  <c r="P30" i="1"/>
  <c r="H18" i="11"/>
  <c r="G18" i="11"/>
  <c r="M9" i="1"/>
  <c r="H10" i="1"/>
  <c r="J11" i="1"/>
  <c r="K12" i="1"/>
  <c r="M13" i="1"/>
  <c r="H14" i="1"/>
  <c r="J15" i="1"/>
  <c r="E16" i="1"/>
  <c r="K16" i="1" s="1"/>
  <c r="E8" i="1"/>
  <c r="M8" i="1" s="1"/>
  <c r="Q30" i="1" l="1"/>
  <c r="R30" i="1" s="1"/>
  <c r="T30" i="1"/>
  <c r="Y30" i="1"/>
  <c r="Z30" i="1" s="1"/>
  <c r="K15" i="1"/>
  <c r="H8" i="1"/>
  <c r="K11" i="1"/>
  <c r="H13" i="1"/>
  <c r="M16" i="1"/>
  <c r="H9" i="1"/>
  <c r="M12" i="1"/>
  <c r="H16" i="1"/>
  <c r="H12" i="1"/>
  <c r="J8" i="1"/>
  <c r="J13" i="1"/>
  <c r="J9" i="1"/>
  <c r="K14" i="1"/>
  <c r="K10" i="1"/>
  <c r="M15" i="1"/>
  <c r="M11" i="1"/>
  <c r="J14" i="1"/>
  <c r="H15" i="1"/>
  <c r="H11" i="1"/>
  <c r="J16" i="1"/>
  <c r="J12" i="1"/>
  <c r="K8" i="1"/>
  <c r="K13" i="1"/>
  <c r="K9" i="1"/>
  <c r="M14" i="1"/>
  <c r="M10" i="1"/>
  <c r="J10" i="1"/>
  <c r="D58" i="11" l="1"/>
  <c r="D57" i="11"/>
  <c r="D56" i="11"/>
  <c r="D55" i="11"/>
  <c r="D54" i="11"/>
  <c r="D53" i="11"/>
  <c r="E58" i="11"/>
  <c r="E57" i="11"/>
  <c r="E56" i="11"/>
  <c r="E55" i="11"/>
  <c r="E54" i="11"/>
  <c r="E53" i="11"/>
  <c r="G60" i="11"/>
  <c r="M58" i="11"/>
  <c r="G57" i="11"/>
  <c r="J56" i="11"/>
  <c r="M55" i="11"/>
  <c r="J54" i="11"/>
  <c r="G54" i="11"/>
  <c r="M52" i="11"/>
  <c r="J52" i="11"/>
  <c r="M59" i="11"/>
  <c r="M57" i="11"/>
  <c r="M56" i="11"/>
  <c r="J55" i="11"/>
  <c r="J53" i="11"/>
  <c r="G61" i="11"/>
  <c r="G59" i="11"/>
  <c r="G58" i="11"/>
  <c r="G56" i="11"/>
  <c r="G55" i="11"/>
  <c r="M54" i="11" l="1"/>
  <c r="M51" i="11"/>
  <c r="M53" i="11"/>
  <c r="J51" i="11"/>
  <c r="G53" i="11"/>
  <c r="N59" i="11"/>
  <c r="N58" i="11"/>
  <c r="N57" i="11"/>
  <c r="N56" i="11"/>
  <c r="N55" i="11"/>
  <c r="K56" i="11"/>
  <c r="K55" i="11"/>
  <c r="N53" i="11"/>
  <c r="K53" i="11"/>
  <c r="H61" i="11" l="1"/>
  <c r="H60" i="11"/>
  <c r="H59" i="11"/>
  <c r="H58" i="11"/>
  <c r="H57" i="11"/>
  <c r="H56" i="11"/>
  <c r="H55" i="11"/>
  <c r="H53" i="11"/>
  <c r="N54" i="11"/>
  <c r="K54" i="11"/>
  <c r="N52" i="11"/>
  <c r="H54" i="11"/>
  <c r="K52" i="11"/>
  <c r="N51" i="11"/>
  <c r="K51" i="11"/>
  <c r="Y17" i="1" l="1"/>
  <c r="X17" i="1"/>
  <c r="W17" i="1"/>
  <c r="V17" i="1"/>
  <c r="P17" i="1"/>
  <c r="G8" i="1" l="1"/>
  <c r="I8" i="1" s="1"/>
  <c r="G9" i="1"/>
  <c r="K54" i="10" l="1"/>
  <c r="K55" i="10"/>
  <c r="K56" i="10"/>
  <c r="K42" i="10"/>
  <c r="K43" i="10"/>
  <c r="K44" i="10"/>
  <c r="K45" i="10"/>
  <c r="K46" i="10"/>
  <c r="K47" i="10"/>
  <c r="K48" i="10"/>
  <c r="K49" i="10"/>
  <c r="K34" i="10"/>
  <c r="K30" i="10"/>
  <c r="K31" i="10"/>
  <c r="K32" i="10"/>
  <c r="K33" i="10"/>
  <c r="N10" i="1" l="1"/>
  <c r="N12" i="1"/>
  <c r="N13" i="1"/>
  <c r="N14" i="1"/>
  <c r="N15" i="1"/>
  <c r="N16" i="1"/>
  <c r="N9" i="1" l="1"/>
  <c r="L8" i="1" l="1"/>
  <c r="N8" i="1" s="1"/>
  <c r="O8" i="1" s="1"/>
  <c r="Q8" i="1" s="1"/>
  <c r="G10" i="1" l="1"/>
  <c r="G11" i="1"/>
  <c r="G12" i="1"/>
  <c r="G13" i="1"/>
  <c r="G14" i="1"/>
  <c r="G15" i="1"/>
  <c r="G16" i="1"/>
  <c r="I16" i="1" l="1"/>
  <c r="L16" i="1" l="1"/>
  <c r="O16" i="1"/>
  <c r="Q16" i="1" s="1"/>
  <c r="R16" i="1" s="1"/>
  <c r="S16" i="1" l="1"/>
  <c r="T16" i="1" s="1"/>
  <c r="U16" i="1" s="1"/>
  <c r="Z16" i="1" l="1"/>
  <c r="AA16" i="1" s="1"/>
  <c r="AB16" i="1" s="1"/>
  <c r="O15" i="10" l="1"/>
  <c r="N15" i="10"/>
  <c r="M15" i="10"/>
  <c r="G10" i="11" l="1"/>
  <c r="H10" i="11"/>
  <c r="I10" i="1" l="1"/>
  <c r="I12" i="1"/>
  <c r="L12" i="1" l="1"/>
  <c r="O12" i="1"/>
  <c r="L10" i="1"/>
  <c r="O10" i="1"/>
  <c r="I13" i="1"/>
  <c r="I11" i="1"/>
  <c r="I9" i="1"/>
  <c r="Q10" i="1" l="1"/>
  <c r="R10" i="1" s="1"/>
  <c r="S10" i="1" s="1"/>
  <c r="T10" i="1" s="1"/>
  <c r="L11" i="1"/>
  <c r="N11" i="1" s="1"/>
  <c r="O11" i="1" s="1"/>
  <c r="L9" i="1"/>
  <c r="O9" i="1"/>
  <c r="Q9" i="1" s="1"/>
  <c r="R9" i="1" s="1"/>
  <c r="S9" i="1" s="1"/>
  <c r="L13" i="1"/>
  <c r="O13" i="1"/>
  <c r="R8" i="1"/>
  <c r="Q12" i="1"/>
  <c r="R12" i="1" s="1"/>
  <c r="S8" i="1" l="1"/>
  <c r="T8" i="1" s="1"/>
  <c r="Q11" i="1"/>
  <c r="R11" i="1" s="1"/>
  <c r="S11" i="1" s="1"/>
  <c r="T11" i="1" s="1"/>
  <c r="T9" i="1"/>
  <c r="Q13" i="1" l="1"/>
  <c r="R13" i="1" s="1"/>
  <c r="K37" i="10" l="1"/>
  <c r="D46" i="9" l="1"/>
  <c r="E46" i="9"/>
  <c r="F46" i="9"/>
  <c r="G46" i="9"/>
  <c r="H46" i="9"/>
  <c r="I46" i="9"/>
  <c r="J46" i="9"/>
  <c r="C46" i="9"/>
  <c r="D33" i="9"/>
  <c r="E33" i="9"/>
  <c r="F33" i="9"/>
  <c r="G33" i="9"/>
  <c r="H33" i="9"/>
  <c r="I33" i="9"/>
  <c r="J33" i="9"/>
  <c r="C33" i="9"/>
  <c r="J38" i="9"/>
  <c r="J20" i="9"/>
  <c r="D10" i="9"/>
  <c r="E10" i="9"/>
  <c r="F10" i="9"/>
  <c r="G10" i="9"/>
  <c r="H10" i="9"/>
  <c r="I10" i="9"/>
  <c r="J10" i="9"/>
  <c r="C10" i="9"/>
  <c r="I65" i="10"/>
  <c r="J16" i="10" l="1"/>
  <c r="I26" i="10"/>
  <c r="O29" i="10" s="1"/>
  <c r="I16" i="10"/>
  <c r="K17" i="10"/>
  <c r="O27" i="10" l="1"/>
  <c r="O28" i="10"/>
  <c r="O33" i="10"/>
  <c r="O32" i="10"/>
  <c r="O34" i="10"/>
  <c r="O31" i="10"/>
  <c r="O30" i="10"/>
  <c r="O20" i="10"/>
  <c r="O24" i="10"/>
  <c r="O21" i="10"/>
  <c r="O25" i="10"/>
  <c r="O17" i="10"/>
  <c r="O26" i="10" l="1"/>
  <c r="S13" i="1"/>
  <c r="T13" i="1" s="1"/>
  <c r="S12" i="1"/>
  <c r="T12" i="1" s="1"/>
  <c r="U11" i="1" l="1"/>
  <c r="Z11" i="1"/>
  <c r="AA11" i="1" s="1"/>
  <c r="AB11" i="1" s="1"/>
  <c r="U10" i="1"/>
  <c r="Z10" i="1"/>
  <c r="AA10" i="1" s="1"/>
  <c r="AB10" i="1" s="1"/>
  <c r="I14" i="1" l="1"/>
  <c r="O14" i="1" s="1"/>
  <c r="I15" i="1"/>
  <c r="O15" i="1" s="1"/>
  <c r="U12" i="1"/>
  <c r="Z12" i="1"/>
  <c r="AA12" i="1" s="1"/>
  <c r="AB12" i="1" s="1"/>
  <c r="U13" i="1"/>
  <c r="Z13" i="1"/>
  <c r="AA13" i="1" s="1"/>
  <c r="AB13" i="1" s="1"/>
  <c r="L14" i="1" l="1"/>
  <c r="Q15" i="1"/>
  <c r="L15" i="1"/>
  <c r="R15" i="1" l="1"/>
  <c r="S15" i="1" s="1"/>
  <c r="T15" i="1" s="1"/>
  <c r="L17" i="1"/>
  <c r="Q14" i="1"/>
  <c r="O17" i="1"/>
  <c r="R14" i="1" l="1"/>
  <c r="S14" i="1" s="1"/>
  <c r="T14" i="1" s="1"/>
  <c r="Z9" i="1"/>
  <c r="U15" i="1"/>
  <c r="Z15" i="1"/>
  <c r="U9" i="1"/>
  <c r="Z14" i="1" l="1"/>
  <c r="U14" i="1"/>
  <c r="J83" i="9" l="1"/>
  <c r="H83" i="9"/>
  <c r="G83" i="9"/>
  <c r="F83" i="9"/>
  <c r="E83" i="9"/>
  <c r="D83" i="9"/>
  <c r="C83" i="9"/>
  <c r="J118" i="9" l="1"/>
  <c r="H118" i="9"/>
  <c r="G118" i="9"/>
  <c r="F118" i="9"/>
  <c r="E118" i="9"/>
  <c r="D118" i="9"/>
  <c r="C118" i="9"/>
  <c r="J116" i="9"/>
  <c r="J114" i="9" s="1"/>
  <c r="H116" i="9"/>
  <c r="H114" i="9" s="1"/>
  <c r="G116" i="9"/>
  <c r="G114" i="9" s="1"/>
  <c r="F116" i="9"/>
  <c r="F114" i="9" s="1"/>
  <c r="E116" i="9"/>
  <c r="E114" i="9" s="1"/>
  <c r="D116" i="9"/>
  <c r="D114" i="9" s="1"/>
  <c r="C114" i="9"/>
  <c r="J108" i="9"/>
  <c r="H108" i="9"/>
  <c r="G108" i="9"/>
  <c r="F108" i="9"/>
  <c r="E108" i="9"/>
  <c r="D108" i="9"/>
  <c r="C108" i="9"/>
  <c r="J106" i="9"/>
  <c r="J104" i="9" s="1"/>
  <c r="H106" i="9"/>
  <c r="H104" i="9" s="1"/>
  <c r="G106" i="9"/>
  <c r="G104" i="9" s="1"/>
  <c r="F106" i="9"/>
  <c r="F104" i="9" s="1"/>
  <c r="E106" i="9"/>
  <c r="E104" i="9" s="1"/>
  <c r="D106" i="9"/>
  <c r="D104" i="9" s="1"/>
  <c r="C104" i="9"/>
  <c r="J99" i="9"/>
  <c r="J98" i="9" s="1"/>
  <c r="H99" i="9"/>
  <c r="H98" i="9" s="1"/>
  <c r="G99" i="9"/>
  <c r="G98" i="9" s="1"/>
  <c r="F99" i="9"/>
  <c r="F98" i="9" s="1"/>
  <c r="E99" i="9"/>
  <c r="E98" i="9" s="1"/>
  <c r="D99" i="9"/>
  <c r="D98" i="9" s="1"/>
  <c r="C98" i="9"/>
  <c r="J93" i="9"/>
  <c r="H93" i="9"/>
  <c r="G93" i="9"/>
  <c r="F93" i="9"/>
  <c r="E93" i="9"/>
  <c r="D93" i="9"/>
  <c r="C93" i="9"/>
  <c r="J88" i="9"/>
  <c r="H88" i="9"/>
  <c r="G88" i="9"/>
  <c r="F88" i="9"/>
  <c r="E88" i="9"/>
  <c r="D88" i="9"/>
  <c r="C88" i="9"/>
  <c r="J73" i="9"/>
  <c r="H73" i="9"/>
  <c r="G73" i="9"/>
  <c r="F73" i="9"/>
  <c r="E73" i="9"/>
  <c r="D73" i="9"/>
  <c r="C73" i="9"/>
  <c r="J56" i="9"/>
  <c r="H56" i="9"/>
  <c r="H26" i="10" s="1"/>
  <c r="G56" i="9"/>
  <c r="G26" i="10" s="1"/>
  <c r="F56" i="9"/>
  <c r="F26" i="10" s="1"/>
  <c r="E56" i="9"/>
  <c r="E26" i="10" s="1"/>
  <c r="D56" i="9"/>
  <c r="D26" i="10" s="1"/>
  <c r="C56" i="9"/>
  <c r="C26" i="10" s="1"/>
  <c r="J55" i="9"/>
  <c r="H55" i="9"/>
  <c r="H16" i="10" s="1"/>
  <c r="G55" i="9"/>
  <c r="G16" i="10" s="1"/>
  <c r="F55" i="9"/>
  <c r="F16" i="10" s="1"/>
  <c r="E55" i="9"/>
  <c r="E16" i="10" s="1"/>
  <c r="D55" i="9"/>
  <c r="D16" i="10" s="1"/>
  <c r="C55" i="9"/>
  <c r="C42" i="9"/>
  <c r="C41" i="9"/>
  <c r="K39" i="9"/>
  <c r="I38" i="9"/>
  <c r="H38" i="9"/>
  <c r="G38" i="9"/>
  <c r="F38" i="9"/>
  <c r="E38" i="9"/>
  <c r="D38" i="9"/>
  <c r="K37" i="9"/>
  <c r="K36" i="9"/>
  <c r="D35" i="9"/>
  <c r="E35" i="9" s="1"/>
  <c r="E42" i="9" s="1"/>
  <c r="K25" i="9"/>
  <c r="K23" i="9"/>
  <c r="C21" i="9"/>
  <c r="I20" i="9"/>
  <c r="K20" i="9" s="1"/>
  <c r="D19" i="9"/>
  <c r="D21" i="9" s="1"/>
  <c r="D26" i="9" s="1"/>
  <c r="K18" i="9"/>
  <c r="C15" i="9"/>
  <c r="C29" i="9" s="1"/>
  <c r="K14" i="9"/>
  <c r="K13" i="9"/>
  <c r="D12" i="9"/>
  <c r="K26" i="10" l="1"/>
  <c r="K16" i="10"/>
  <c r="M31" i="10"/>
  <c r="M30" i="10"/>
  <c r="M34" i="10"/>
  <c r="M32" i="10"/>
  <c r="M33" i="10"/>
  <c r="N32" i="10"/>
  <c r="N33" i="10"/>
  <c r="N31" i="10"/>
  <c r="N30" i="10"/>
  <c r="N34" i="10"/>
  <c r="N21" i="10"/>
  <c r="N25" i="10"/>
  <c r="N20" i="10"/>
  <c r="N24" i="10"/>
  <c r="E65" i="10"/>
  <c r="G65" i="10"/>
  <c r="J65" i="10"/>
  <c r="H65" i="10"/>
  <c r="D65" i="10"/>
  <c r="C65" i="10"/>
  <c r="F65" i="10"/>
  <c r="K40" i="10"/>
  <c r="C113" i="9"/>
  <c r="C102" i="9" s="1"/>
  <c r="E113" i="9"/>
  <c r="E102" i="9" s="1"/>
  <c r="K36" i="10"/>
  <c r="C64" i="10"/>
  <c r="K29" i="10"/>
  <c r="C43" i="9"/>
  <c r="C57" i="9"/>
  <c r="H113" i="9"/>
  <c r="H102" i="9" s="1"/>
  <c r="D41" i="9"/>
  <c r="J113" i="9"/>
  <c r="J102" i="9" s="1"/>
  <c r="D42" i="9"/>
  <c r="G57" i="9"/>
  <c r="D57" i="9"/>
  <c r="H57" i="9"/>
  <c r="F113" i="9"/>
  <c r="F102" i="9" s="1"/>
  <c r="E19" i="9"/>
  <c r="K38" i="9"/>
  <c r="E57" i="9"/>
  <c r="J57" i="9"/>
  <c r="G113" i="9"/>
  <c r="G102" i="9" s="1"/>
  <c r="D113" i="9"/>
  <c r="D102" i="9" s="1"/>
  <c r="C26" i="9"/>
  <c r="F57" i="9"/>
  <c r="E41" i="9"/>
  <c r="D15" i="9"/>
  <c r="D29" i="9" s="1"/>
  <c r="E12" i="9"/>
  <c r="F35" i="9"/>
  <c r="C63" i="10" l="1"/>
  <c r="C35" i="10"/>
  <c r="M20" i="10"/>
  <c r="M24" i="10"/>
  <c r="M21" i="10"/>
  <c r="M25" i="10"/>
  <c r="M17" i="10"/>
  <c r="M18" i="10"/>
  <c r="M19" i="10"/>
  <c r="M27" i="10"/>
  <c r="N27" i="10"/>
  <c r="M29" i="10"/>
  <c r="M28" i="10"/>
  <c r="D43" i="9"/>
  <c r="E21" i="9"/>
  <c r="E26" i="9" s="1"/>
  <c r="F19" i="9"/>
  <c r="F12" i="9"/>
  <c r="E15" i="9"/>
  <c r="C28" i="9"/>
  <c r="D28" i="9"/>
  <c r="F42" i="9"/>
  <c r="F41" i="9"/>
  <c r="G35" i="9"/>
  <c r="E43" i="9"/>
  <c r="M26" i="10" l="1"/>
  <c r="C38" i="10"/>
  <c r="M16" i="10"/>
  <c r="N28" i="10"/>
  <c r="D35" i="10"/>
  <c r="D38" i="10" s="1"/>
  <c r="D64" i="10"/>
  <c r="N29" i="10"/>
  <c r="E28" i="9"/>
  <c r="E29" i="9"/>
  <c r="F21" i="9"/>
  <c r="F26" i="9" s="1"/>
  <c r="G19" i="9"/>
  <c r="D30" i="9"/>
  <c r="F43" i="9"/>
  <c r="F15" i="9"/>
  <c r="G12" i="9"/>
  <c r="C30" i="9"/>
  <c r="G42" i="9"/>
  <c r="G41" i="9"/>
  <c r="H35" i="9"/>
  <c r="N26" i="10" l="1"/>
  <c r="D63" i="10"/>
  <c r="N19" i="10"/>
  <c r="N18" i="10"/>
  <c r="E63" i="10"/>
  <c r="N17" i="10"/>
  <c r="E35" i="10"/>
  <c r="E30" i="9"/>
  <c r="G21" i="9"/>
  <c r="G26" i="9" s="1"/>
  <c r="H19" i="9"/>
  <c r="G43" i="9"/>
  <c r="G15" i="9"/>
  <c r="H12" i="9"/>
  <c r="F28" i="9"/>
  <c r="I35" i="9"/>
  <c r="J35" i="9" s="1"/>
  <c r="H41" i="9"/>
  <c r="H42" i="9"/>
  <c r="F29" i="9"/>
  <c r="F64" i="10" s="1"/>
  <c r="J42" i="9" l="1"/>
  <c r="J41" i="9"/>
  <c r="J43" i="9" s="1"/>
  <c r="N16" i="10"/>
  <c r="E38" i="10"/>
  <c r="AA15" i="1"/>
  <c r="AB15" i="1" s="1"/>
  <c r="AA14" i="1"/>
  <c r="AB14" i="1" s="1"/>
  <c r="F35" i="10"/>
  <c r="F38" i="10" s="1"/>
  <c r="F63" i="10"/>
  <c r="E64" i="10"/>
  <c r="G28" i="9"/>
  <c r="I19" i="9"/>
  <c r="H21" i="9"/>
  <c r="G29" i="9"/>
  <c r="G64" i="10" s="1"/>
  <c r="H43" i="9"/>
  <c r="I41" i="9"/>
  <c r="I42" i="9"/>
  <c r="K35" i="9"/>
  <c r="F30" i="9"/>
  <c r="H15" i="9"/>
  <c r="I12" i="9"/>
  <c r="I15" i="9" l="1"/>
  <c r="J12" i="9"/>
  <c r="I21" i="9"/>
  <c r="I26" i="9" s="1"/>
  <c r="J19" i="9"/>
  <c r="J21" i="9" s="1"/>
  <c r="J26" i="9" s="1"/>
  <c r="G35" i="10"/>
  <c r="K19" i="9"/>
  <c r="G63" i="10"/>
  <c r="H26" i="9"/>
  <c r="K26" i="9" s="1"/>
  <c r="I29" i="9"/>
  <c r="K12" i="9"/>
  <c r="I43" i="9"/>
  <c r="K43" i="9" s="1"/>
  <c r="K41" i="9"/>
  <c r="K18" i="10" s="1"/>
  <c r="K42" i="9"/>
  <c r="H29" i="9"/>
  <c r="H64" i="10" s="1"/>
  <c r="G30" i="9"/>
  <c r="J15" i="9" l="1"/>
  <c r="J28" i="9" s="1"/>
  <c r="J29" i="9"/>
  <c r="K21" i="9"/>
  <c r="G38" i="10"/>
  <c r="K28" i="10"/>
  <c r="H28" i="9"/>
  <c r="I28" i="9"/>
  <c r="K15" i="9"/>
  <c r="K29" i="9"/>
  <c r="J30" i="9" l="1"/>
  <c r="O19" i="10"/>
  <c r="O18" i="10"/>
  <c r="I64" i="10"/>
  <c r="K27" i="10"/>
  <c r="I35" i="10"/>
  <c r="I38" i="10" s="1"/>
  <c r="I63" i="10"/>
  <c r="H30" i="9"/>
  <c r="H35" i="10"/>
  <c r="J64" i="10"/>
  <c r="I30" i="9"/>
  <c r="K28" i="9"/>
  <c r="J35" i="10" s="1"/>
  <c r="J38" i="10" s="1"/>
  <c r="O16" i="10" l="1"/>
  <c r="H38" i="10"/>
  <c r="K38" i="10" s="1"/>
  <c r="K35" i="10"/>
  <c r="K30" i="9"/>
  <c r="H63" i="10"/>
  <c r="J63" i="10"/>
  <c r="D124" i="9" l="1"/>
  <c r="D122" i="9" s="1"/>
  <c r="D80" i="9"/>
  <c r="D78" i="9" s="1"/>
  <c r="D39" i="10" l="1"/>
  <c r="C124" i="9"/>
  <c r="C122" i="9" s="1"/>
  <c r="C80" i="9"/>
  <c r="C78" i="9" s="1"/>
  <c r="C39" i="10" s="1"/>
  <c r="M40" i="10" l="1"/>
  <c r="C66" i="10"/>
  <c r="D66" i="10"/>
  <c r="C50" i="10"/>
  <c r="D50" i="10"/>
  <c r="C52" i="10" l="1"/>
  <c r="C57" i="10" l="1"/>
  <c r="AA9" i="1" l="1"/>
  <c r="AB9" i="1" s="1"/>
  <c r="E124" i="9"/>
  <c r="E122" i="9" s="1"/>
  <c r="E80" i="9"/>
  <c r="E78" i="9" s="1"/>
  <c r="E39" i="10" l="1"/>
  <c r="F80" i="9"/>
  <c r="F78" i="9" s="1"/>
  <c r="F124" i="9"/>
  <c r="F122" i="9" s="1"/>
  <c r="E66" i="10" l="1"/>
  <c r="E50" i="10"/>
  <c r="F39" i="10"/>
  <c r="G124" i="9"/>
  <c r="G122" i="9" s="1"/>
  <c r="G80" i="9"/>
  <c r="G78" i="9" s="1"/>
  <c r="F66" i="10" l="1"/>
  <c r="F50" i="10"/>
  <c r="G39" i="10"/>
  <c r="H124" i="9"/>
  <c r="H122" i="9" s="1"/>
  <c r="H80" i="9"/>
  <c r="H78" i="9" s="1"/>
  <c r="J124" i="9"/>
  <c r="J122" i="9" s="1"/>
  <c r="J80" i="9"/>
  <c r="J78" i="9" s="1"/>
  <c r="G66" i="10" l="1"/>
  <c r="G50" i="10"/>
  <c r="H39" i="10"/>
  <c r="H66" i="10" l="1"/>
  <c r="H50" i="10"/>
  <c r="I39" i="10"/>
  <c r="K51" i="10"/>
  <c r="I66" i="10" l="1"/>
  <c r="I50" i="10"/>
  <c r="I52" i="10" l="1"/>
  <c r="I57" i="10" l="1"/>
  <c r="I67" i="10" l="1"/>
  <c r="I59" i="10" l="1"/>
  <c r="M43" i="10" l="1"/>
  <c r="M45" i="10"/>
  <c r="M46" i="10"/>
  <c r="M44" i="10"/>
  <c r="M42" i="10"/>
  <c r="M41" i="10"/>
  <c r="M39" i="10" l="1"/>
  <c r="C67" i="10" l="1"/>
  <c r="C59" i="10" l="1"/>
  <c r="N42" i="10"/>
  <c r="N46" i="10"/>
  <c r="N40" i="10"/>
  <c r="N44" i="10"/>
  <c r="N43" i="10"/>
  <c r="N45" i="10"/>
  <c r="N41" i="10"/>
  <c r="G52" i="10"/>
  <c r="G57" i="10" s="1"/>
  <c r="F52" i="10"/>
  <c r="F57" i="10" s="1"/>
  <c r="N39" i="10" l="1"/>
  <c r="C60" i="10"/>
  <c r="H52" i="10"/>
  <c r="D52" i="10"/>
  <c r="E52" i="10"/>
  <c r="F67" i="10"/>
  <c r="G67" i="10"/>
  <c r="H67" i="10" l="1"/>
  <c r="H57" i="10"/>
  <c r="H59" i="10" s="1"/>
  <c r="E57" i="10"/>
  <c r="E59" i="10" s="1"/>
  <c r="D67" i="10"/>
  <c r="D57" i="10"/>
  <c r="D59" i="10" s="1"/>
  <c r="F59" i="10"/>
  <c r="E67" i="10"/>
  <c r="G59" i="10"/>
  <c r="K58" i="10"/>
  <c r="D60" i="10" l="1"/>
  <c r="E60" i="10" s="1"/>
  <c r="F60" i="10" s="1"/>
  <c r="G60" i="10" s="1"/>
  <c r="H60" i="10" s="1"/>
  <c r="I60" i="10" l="1"/>
  <c r="Z8" i="1" l="1"/>
  <c r="S17" i="1"/>
  <c r="AA8" i="1" l="1"/>
  <c r="AA17" i="1" s="1"/>
  <c r="Z17" i="1"/>
  <c r="U8" i="1"/>
  <c r="T17" i="1"/>
  <c r="AB17" i="1" l="1"/>
  <c r="AB8" i="1"/>
  <c r="K53" i="10" l="1"/>
  <c r="K41" i="10" l="1"/>
  <c r="J39" i="10"/>
  <c r="O41" i="10" s="1"/>
  <c r="J66" i="10" l="1"/>
  <c r="J67" i="10" s="1"/>
  <c r="K39" i="10"/>
  <c r="J50" i="10"/>
  <c r="O42" i="10"/>
  <c r="O40" i="10"/>
  <c r="O46" i="10"/>
  <c r="O45" i="10"/>
  <c r="O44" i="10"/>
  <c r="O43" i="10"/>
  <c r="K50" i="10" l="1"/>
  <c r="J52" i="10"/>
  <c r="O39" i="10"/>
  <c r="K52" i="10" l="1"/>
  <c r="J57" i="10"/>
  <c r="K57" i="10" l="1"/>
  <c r="J59" i="10"/>
  <c r="K59" i="10" l="1"/>
  <c r="J6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A28" authorId="0" shapeId="0" xr:uid="{00000000-0006-0000-0200-000001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29" authorId="0" shapeId="0" xr:uid="{00000000-0006-0000-0200-000002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 ref="A41" authorId="0" shapeId="0" xr:uid="{00000000-0006-0000-0200-000003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42" authorId="0" shapeId="0" xr:uid="{00000000-0006-0000-0200-000004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 ref="A55" authorId="0" shapeId="0" xr:uid="{00000000-0006-0000-0200-000005000000}">
      <text>
        <r>
          <rPr>
            <b/>
            <sz val="9"/>
            <color indexed="81"/>
            <rFont val="Segoe UI"/>
            <family val="2"/>
          </rPr>
          <t>Beerli Anna OFAG:</t>
        </r>
        <r>
          <rPr>
            <sz val="9"/>
            <color indexed="81"/>
            <rFont val="Segoe UI"/>
            <family val="2"/>
          </rPr>
          <t xml:space="preserve">
</t>
        </r>
        <r>
          <rPr>
            <sz val="9"/>
            <color indexed="81"/>
            <rFont val="Segoe UI"/>
            <family val="2"/>
          </rPr>
          <t>= volume de vente * prix de vente</t>
        </r>
      </text>
    </comment>
    <comment ref="A56" authorId="0" shapeId="0" xr:uid="{00000000-0006-0000-0200-000006000000}">
      <text>
        <r>
          <rPr>
            <b/>
            <sz val="9"/>
            <color indexed="81"/>
            <rFont val="Segoe UI"/>
            <family val="2"/>
          </rPr>
          <t>Beerli Anna OFAG:</t>
        </r>
        <r>
          <rPr>
            <sz val="9"/>
            <color indexed="81"/>
            <rFont val="Segoe UI"/>
            <family val="2"/>
          </rPr>
          <t xml:space="preserve">
</t>
        </r>
        <r>
          <rPr>
            <sz val="9"/>
            <color indexed="81"/>
            <rFont val="Segoe UI"/>
            <family val="2"/>
          </rPr>
          <t>p. ex. =(quantité achetée* prix d</t>
        </r>
        <r>
          <rPr>
            <sz val="9"/>
            <color indexed="81"/>
            <rFont val="Segoe UI"/>
            <family val="2"/>
          </rPr>
          <t xml:space="preserve">'achat)+(quantité vendue*autres coûts de production)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4" authorId="0" shapeId="0" xr:uid="{00000000-0006-0000-0300-000001000000}">
      <text>
        <r>
          <rPr>
            <b/>
            <sz val="9"/>
            <color indexed="81"/>
            <rFont val="Segoe UI"/>
            <family val="2"/>
          </rPr>
          <t>Beerli Anna OFAG:</t>
        </r>
        <r>
          <rPr>
            <sz val="9"/>
            <color indexed="81"/>
            <rFont val="Segoe UI"/>
            <family val="2"/>
          </rPr>
          <t xml:space="preserve">
</t>
        </r>
        <r>
          <rPr>
            <sz val="9"/>
            <color indexed="81"/>
            <rFont val="Segoe UI"/>
            <family val="2"/>
          </rPr>
          <t>Alpage :aussi si individuel</t>
        </r>
      </text>
    </comment>
  </commentList>
</comments>
</file>

<file path=xl/sharedStrings.xml><?xml version="1.0" encoding="utf-8"?>
<sst xmlns="http://schemas.openxmlformats.org/spreadsheetml/2006/main" count="515" uniqueCount="439">
  <si>
    <r>
      <rPr>
        <b/>
        <sz val="11"/>
        <rFont val="Arial Narrow"/>
        <family val="2"/>
      </rPr>
      <t>Nom du projet partiel (PP)</t>
    </r>
  </si>
  <si>
    <r>
      <rPr>
        <b/>
        <sz val="11"/>
        <rFont val="Arial Narrow"/>
        <family val="2"/>
      </rPr>
      <t>Date</t>
    </r>
  </si>
  <si>
    <r>
      <rPr>
        <b/>
        <sz val="11"/>
        <rFont val="Arial Narrow"/>
        <family val="2"/>
      </rPr>
      <t>Unité d</t>
    </r>
    <r>
      <rPr>
        <b/>
        <sz val="11"/>
        <rFont val="Arial Narrow"/>
        <family val="2"/>
      </rPr>
      <t>'observation de la planification financière</t>
    </r>
  </si>
  <si>
    <r>
      <rPr>
        <sz val="10"/>
        <rFont val="Arial Narrow"/>
        <family val="2"/>
      </rPr>
      <t>p. ex. exploitation dans son intégralité ou seulement branche de production xy</t>
    </r>
  </si>
  <si>
    <r>
      <rPr>
        <b/>
        <sz val="12"/>
        <rFont val="Arial Narrow"/>
        <family val="2"/>
      </rPr>
      <t>Recettes et coûts imputables</t>
    </r>
  </si>
  <si>
    <r>
      <rPr>
        <b/>
        <sz val="10"/>
        <rFont val="Arial Narrow"/>
        <family val="2"/>
      </rPr>
      <t>Produit 1 - exemple: production agricole, transformation et élaboration</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</si>
  <si>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</si>
  <si>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</si>
  <si>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</si>
  <si>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Quantités</t>
    </r>
  </si>
  <si>
    <r>
      <rPr>
        <sz val="10"/>
        <rFont val="Arial Narrow"/>
        <family val="2"/>
      </rPr>
      <t>Volume des achats</t>
    </r>
  </si>
  <si>
    <r>
      <rPr>
        <sz val="10"/>
        <rFont val="Arial Narrow"/>
        <family val="2"/>
      </rPr>
      <t>p. ex. kg de lait</t>
    </r>
  </si>
  <si>
    <r>
      <rPr>
        <i/>
        <sz val="9"/>
        <rFont val="Arial Narrow"/>
        <family val="2"/>
      </rPr>
      <t>Variation annuelle du volume d</t>
    </r>
    <r>
      <rPr>
        <i/>
        <sz val="9"/>
        <rFont val="Arial Narrow"/>
        <family val="2"/>
      </rPr>
      <t>'achat par rapport à l</t>
    </r>
    <r>
      <rPr>
        <i/>
        <sz val="9"/>
        <rFont val="Arial Narrow"/>
        <family val="2"/>
      </rPr>
      <t>'année précédente</t>
    </r>
  </si>
  <si>
    <r>
      <rPr>
        <i/>
        <sz val="9"/>
        <rFont val="Arial Narrow"/>
        <family val="2"/>
      </rPr>
      <t>%</t>
    </r>
  </si>
  <si>
    <r>
      <rPr>
        <i/>
        <sz val="9"/>
        <rFont val="Arial Narrow"/>
        <family val="2"/>
      </rPr>
      <t>Augmentation grâce à une capacité de transformation plus élevée</t>
    </r>
  </si>
  <si>
    <r>
      <rPr>
        <i/>
        <sz val="9"/>
        <rFont val="Arial Narrow"/>
        <family val="2"/>
      </rPr>
      <t>Facteur de conversion</t>
    </r>
  </si>
  <si>
    <r>
      <rPr>
        <i/>
        <sz val="9"/>
        <rFont val="Arial Narrow"/>
        <family val="2"/>
      </rPr>
      <t>[ 1 ]</t>
    </r>
  </si>
  <si>
    <r>
      <rPr>
        <sz val="10"/>
        <rFont val="Arial Narrow"/>
        <family val="2"/>
      </rPr>
      <t>Volume des ventes</t>
    </r>
  </si>
  <si>
    <r>
      <rPr>
        <sz val="10"/>
        <rFont val="Arial Narrow"/>
        <family val="2"/>
      </rPr>
      <t>p. ex. kg de fromage</t>
    </r>
  </si>
  <si>
    <r>
      <rPr>
        <b/>
        <sz val="10"/>
        <rFont val="Arial Narrow"/>
        <family val="2"/>
      </rPr>
      <t>Formation des prix</t>
    </r>
  </si>
  <si>
    <r>
      <rPr>
        <sz val="10"/>
        <rFont val="Arial Narrow"/>
        <family val="2"/>
      </rPr>
      <t>Coûts de production dans l</t>
    </r>
    <r>
      <rPr>
        <sz val="10"/>
        <rFont val="Arial Narrow"/>
        <family val="2"/>
      </rPr>
      <t>'agriculture</t>
    </r>
  </si>
  <si>
    <r>
      <rPr>
        <sz val="10"/>
        <rFont val="Arial Narrow"/>
        <family val="2"/>
      </rPr>
      <t>p. ex. CHF / kg de lait</t>
    </r>
  </si>
  <si>
    <r>
      <rPr>
        <sz val="10"/>
        <rFont val="Arial Narrow"/>
        <family val="2"/>
      </rPr>
      <t>Prix d</t>
    </r>
    <r>
      <rPr>
        <sz val="10"/>
        <rFont val="Arial Narrow"/>
        <family val="2"/>
      </rPr>
      <t>'achat PP / unité d</t>
    </r>
    <r>
      <rPr>
        <sz val="10"/>
        <rFont val="Arial Narrow"/>
        <family val="2"/>
      </rPr>
      <t>'achat</t>
    </r>
  </si>
  <si>
    <r>
      <rPr>
        <sz val="10"/>
        <rFont val="Arial Narrow"/>
        <family val="2"/>
      </rPr>
      <t>p. ex. CHF / kg de lait</t>
    </r>
  </si>
  <si>
    <r>
      <rPr>
        <i/>
        <sz val="9"/>
        <rFont val="Arial Narrow"/>
        <family val="2"/>
      </rPr>
      <t>Variation annuelle du prix d</t>
    </r>
    <r>
      <rPr>
        <i/>
        <sz val="9"/>
        <rFont val="Arial Narrow"/>
        <family val="2"/>
      </rPr>
      <t>'achat par rapport à l</t>
    </r>
    <r>
      <rPr>
        <i/>
        <sz val="9"/>
        <rFont val="Arial Narrow"/>
        <family val="2"/>
      </rPr>
      <t>'année précédente</t>
    </r>
  </si>
  <si>
    <r>
      <rPr>
        <i/>
        <sz val="9"/>
        <rFont val="Arial Narrow"/>
        <family val="2"/>
      </rPr>
      <t>%</t>
    </r>
  </si>
  <si>
    <r>
      <rPr>
        <sz val="10"/>
        <rFont val="Arial Narrow"/>
        <family val="2"/>
      </rPr>
      <t>Prix d</t>
    </r>
    <r>
      <rPr>
        <sz val="10"/>
        <rFont val="Arial Narrow"/>
        <family val="2"/>
      </rPr>
      <t>'achat PP dans l</t>
    </r>
    <r>
      <rPr>
        <sz val="10"/>
        <rFont val="Arial Narrow"/>
        <family val="2"/>
      </rPr>
      <t>'unité de vente</t>
    </r>
  </si>
  <si>
    <r>
      <rPr>
        <sz val="10"/>
        <rFont val="Arial Narrow"/>
        <family val="2"/>
      </rPr>
      <t>p. ex. CHF / kg de fromage</t>
    </r>
  </si>
  <si>
    <r>
      <rPr>
        <b/>
        <sz val="10"/>
        <rFont val="Arial Narrow"/>
        <family val="2"/>
      </rPr>
      <t>autres coûts de production variables directs pour le PP</t>
    </r>
  </si>
  <si>
    <r>
      <rPr>
        <sz val="10"/>
        <rFont val="Arial Narrow"/>
        <family val="2"/>
      </rPr>
      <t>p. ex. CHF / kg de fromage</t>
    </r>
  </si>
  <si>
    <r>
      <rPr>
        <b/>
        <sz val="10"/>
        <rFont val="Arial Narrow"/>
        <family val="2"/>
      </rPr>
      <t>Marge du porteur de projet partiel</t>
    </r>
  </si>
  <si>
    <r>
      <rPr>
        <sz val="10"/>
        <rFont val="Arial Narrow"/>
        <family val="2"/>
      </rPr>
      <t>%</t>
    </r>
  </si>
  <si>
    <r>
      <rPr>
        <b/>
        <sz val="10"/>
        <rFont val="Arial Narrow"/>
        <family val="2"/>
      </rPr>
      <t>Prix de vente</t>
    </r>
  </si>
  <si>
    <r>
      <rPr>
        <sz val="10"/>
        <rFont val="Arial Narrow"/>
        <family val="2"/>
      </rPr>
      <t>p. ex. CHF / kg de fromage</t>
    </r>
  </si>
  <si>
    <r>
      <rPr>
        <b/>
        <sz val="10"/>
        <rFont val="Arial Narrow"/>
        <family val="2"/>
      </rPr>
      <t>Rendement</t>
    </r>
  </si>
  <si>
    <r>
      <rPr>
        <sz val="10"/>
        <rFont val="Arial Narrow"/>
        <family val="2"/>
      </rPr>
      <t>CHF</t>
    </r>
  </si>
  <si>
    <r>
      <rPr>
        <sz val="10"/>
        <color rgb="FFFF0000"/>
        <rFont val="Arial Narrow"/>
        <family val="2"/>
      </rPr>
      <t>reprendre dans le compte des résultats</t>
    </r>
  </si>
  <si>
    <r>
      <rPr>
        <b/>
        <sz val="10"/>
        <rFont val="Arial Narrow"/>
        <family val="2"/>
      </rPr>
      <t>Charges directes</t>
    </r>
  </si>
  <si>
    <r>
      <rPr>
        <sz val="10"/>
        <rFont val="Arial Narrow"/>
        <family val="2"/>
      </rPr>
      <t>CHF</t>
    </r>
  </si>
  <si>
    <r>
      <rPr>
        <sz val="10"/>
        <color rgb="FFFF0000"/>
        <rFont val="Arial Narrow"/>
        <family val="2"/>
      </rPr>
      <t>reprendre dans le compte des résultats</t>
    </r>
  </si>
  <si>
    <r>
      <rPr>
        <b/>
        <sz val="10"/>
        <rFont val="Arial Narrow"/>
        <family val="2"/>
      </rPr>
      <t>Marge brute produit 1</t>
    </r>
  </si>
  <si>
    <r>
      <rPr>
        <sz val="10"/>
        <rFont val="Arial Narrow"/>
        <family val="2"/>
      </rPr>
      <t>CHF</t>
    </r>
  </si>
  <si>
    <r>
      <rPr>
        <b/>
        <sz val="10"/>
        <rFont val="Arial Narrow"/>
        <family val="2"/>
      </rPr>
      <t>Produit 2 - exemple: offres agritouristiques</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</si>
  <si>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</si>
  <si>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</si>
  <si>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</si>
  <si>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Offre 1 p. ex. hébergement</t>
    </r>
  </si>
  <si>
    <r>
      <rPr>
        <sz val="10"/>
        <rFont val="Arial Narrow"/>
        <family val="2"/>
      </rPr>
      <t>Offre 1 p. ex. hébergement</t>
    </r>
  </si>
  <si>
    <r>
      <rPr>
        <sz val="10"/>
        <rFont val="Arial Narrow"/>
        <family val="2"/>
      </rPr>
      <t>Unité d</t>
    </r>
    <r>
      <rPr>
        <sz val="10"/>
        <rFont val="Arial Narrow"/>
        <family val="2"/>
      </rPr>
      <t>'offre (nuits / années)</t>
    </r>
  </si>
  <si>
    <r>
      <rPr>
        <i/>
        <sz val="9"/>
        <rFont val="Arial Narrow"/>
        <family val="2"/>
      </rPr>
      <t>Augmentation annuelle</t>
    </r>
  </si>
  <si>
    <r>
      <rPr>
        <i/>
        <sz val="9"/>
        <rFont val="Arial Narrow"/>
        <family val="2"/>
      </rPr>
      <t>%</t>
    </r>
  </si>
  <si>
    <r>
      <rPr>
        <sz val="10"/>
        <rFont val="Arial Narrow"/>
        <family val="2"/>
      </rPr>
      <t>Coûts variables pour l</t>
    </r>
    <r>
      <rPr>
        <sz val="10"/>
        <rFont val="Arial Narrow"/>
        <family val="2"/>
      </rPr>
      <t>'offre</t>
    </r>
  </si>
  <si>
    <r>
      <rPr>
        <sz val="10"/>
        <rFont val="Arial Narrow"/>
        <family val="2"/>
      </rPr>
      <t>CHF / unité d</t>
    </r>
    <r>
      <rPr>
        <sz val="10"/>
        <rFont val="Arial Narrow"/>
        <family val="2"/>
      </rPr>
      <t>'offre</t>
    </r>
  </si>
  <si>
    <r>
      <rPr>
        <sz val="10"/>
        <rFont val="Arial Narrow"/>
        <family val="2"/>
      </rPr>
      <t>Prix de vente</t>
    </r>
  </si>
  <si>
    <r>
      <rPr>
        <sz val="10"/>
        <rFont val="Arial Narrow"/>
        <family val="2"/>
      </rPr>
      <t>CHF / unité d</t>
    </r>
    <r>
      <rPr>
        <sz val="10"/>
        <rFont val="Arial Narrow"/>
        <family val="2"/>
      </rPr>
      <t>'offre</t>
    </r>
  </si>
  <si>
    <r>
      <rPr>
        <sz val="10"/>
        <rFont val="Arial Narrow"/>
        <family val="2"/>
      </rPr>
      <t>Marge</t>
    </r>
  </si>
  <si>
    <r>
      <rPr>
        <sz val="10"/>
        <rFont val="Arial Narrow"/>
        <family val="2"/>
      </rPr>
      <t>%</t>
    </r>
  </si>
  <si>
    <r>
      <rPr>
        <b/>
        <sz val="10"/>
        <rFont val="Arial Narrow"/>
        <family val="2"/>
      </rPr>
      <t>Rendement</t>
    </r>
  </si>
  <si>
    <r>
      <rPr>
        <sz val="10"/>
        <color rgb="FFFF0000"/>
        <rFont val="Arial Narrow"/>
        <family val="2"/>
      </rPr>
      <t>reprendre dans le compte des résultats</t>
    </r>
  </si>
  <si>
    <r>
      <rPr>
        <b/>
        <sz val="10"/>
        <rFont val="Arial Narrow"/>
        <family val="2"/>
      </rPr>
      <t>Charges directes</t>
    </r>
  </si>
  <si>
    <r>
      <rPr>
        <sz val="10"/>
        <color rgb="FFFF0000"/>
        <rFont val="Arial Narrow"/>
        <family val="2"/>
      </rPr>
      <t>reprendre dans le compte des résultats</t>
    </r>
  </si>
  <si>
    <r>
      <rPr>
        <b/>
        <sz val="10"/>
        <rFont val="Arial Narrow"/>
        <family val="2"/>
      </rPr>
      <t>Marge brute produit 2</t>
    </r>
  </si>
  <si>
    <r>
      <rPr>
        <sz val="10"/>
        <rFont val="Arial Narrow"/>
        <family val="2"/>
      </rPr>
      <t>CHF</t>
    </r>
  </si>
  <si>
    <r>
      <rPr>
        <b/>
        <sz val="10"/>
        <rFont val="Arial Narrow"/>
        <family val="2"/>
      </rPr>
      <t>Produit 3 - exemple: projets non axé sur un produit</t>
    </r>
  </si>
  <si>
    <r>
      <rPr>
        <b/>
        <sz val="10"/>
        <rFont val="Arial Narrow"/>
        <family val="2"/>
      </rPr>
      <t>Unité</t>
    </r>
  </si>
  <si>
    <r>
      <rPr>
        <b/>
        <sz val="11"/>
        <color theme="1"/>
        <rFont val="Arial Narrow"/>
        <family val="2"/>
      </rPr>
      <t>Total</t>
    </r>
  </si>
  <si>
    <r>
      <rPr>
        <b/>
        <sz val="10"/>
        <rFont val="Arial Narrow"/>
        <family val="2"/>
      </rPr>
      <t>Explication des hypothèses</t>
    </r>
  </si>
  <si>
    <r>
      <rPr>
        <b/>
        <sz val="10"/>
        <rFont val="Arial Narrow"/>
        <family val="2"/>
      </rPr>
      <t>Offre 3 p. ex. communication commune du PDR (marketing)</t>
    </r>
  </si>
  <si>
    <r>
      <rPr>
        <sz val="10"/>
        <rFont val="Arial Narrow"/>
        <family val="2"/>
      </rPr>
      <t>Coûts pour la communication via les réseaux sociaux</t>
    </r>
  </si>
  <si>
    <r>
      <rPr>
        <sz val="10"/>
        <rFont val="Arial Narrow"/>
        <family val="2"/>
      </rPr>
      <t>CHF/année</t>
    </r>
  </si>
  <si>
    <r>
      <rPr>
        <i/>
        <sz val="9"/>
        <rFont val="Arial Narrow"/>
        <family val="2"/>
      </rPr>
      <t>Augmentation annuelle</t>
    </r>
  </si>
  <si>
    <r>
      <rPr>
        <i/>
        <sz val="9"/>
        <rFont val="Arial Narrow"/>
        <family val="2"/>
      </rPr>
      <t>%</t>
    </r>
  </si>
  <si>
    <r>
      <rPr>
        <sz val="10"/>
        <rFont val="Arial Narrow"/>
        <family val="2"/>
      </rPr>
      <t>Coûts variables pour l</t>
    </r>
    <r>
      <rPr>
        <sz val="10"/>
        <rFont val="Arial Narrow"/>
        <family val="2"/>
      </rPr>
      <t>'offre</t>
    </r>
  </si>
  <si>
    <r>
      <rPr>
        <sz val="10"/>
        <rFont val="Arial Narrow"/>
        <family val="2"/>
      </rPr>
      <t>CHF / unité d</t>
    </r>
    <r>
      <rPr>
        <sz val="10"/>
        <rFont val="Arial Narrow"/>
        <family val="2"/>
      </rPr>
      <t>'offre</t>
    </r>
  </si>
  <si>
    <r>
      <rPr>
        <sz val="10"/>
        <rFont val="Arial Narrow"/>
        <family val="2"/>
      </rPr>
      <t>Prix de vente</t>
    </r>
  </si>
  <si>
    <r>
      <rPr>
        <sz val="10"/>
        <rFont val="Arial Narrow"/>
        <family val="2"/>
      </rPr>
      <t>CHF / unité d</t>
    </r>
    <r>
      <rPr>
        <sz val="10"/>
        <rFont val="Arial Narrow"/>
        <family val="2"/>
      </rPr>
      <t>'offre</t>
    </r>
  </si>
  <si>
    <r>
      <rPr>
        <sz val="10"/>
        <rFont val="Arial Narrow"/>
        <family val="2"/>
      </rPr>
      <t>Marge</t>
    </r>
  </si>
  <si>
    <r>
      <rPr>
        <sz val="10"/>
        <rFont val="Arial Narrow"/>
        <family val="2"/>
      </rPr>
      <t>%</t>
    </r>
  </si>
  <si>
    <r>
      <rPr>
        <b/>
        <sz val="10"/>
        <rFont val="Arial Narrow"/>
        <family val="2"/>
      </rPr>
      <t>Rendement</t>
    </r>
  </si>
  <si>
    <r>
      <rPr>
        <sz val="10"/>
        <color rgb="FFFF0000"/>
        <rFont val="Arial Narrow"/>
        <family val="2"/>
      </rPr>
      <t>reprendre dans le compte des résultats</t>
    </r>
  </si>
  <si>
    <r>
      <rPr>
        <b/>
        <sz val="10"/>
        <rFont val="Arial Narrow"/>
        <family val="2"/>
      </rPr>
      <t>Charges directes</t>
    </r>
  </si>
  <si>
    <r>
      <rPr>
        <sz val="10"/>
        <color rgb="FFFF0000"/>
        <rFont val="Arial Narrow"/>
        <family val="2"/>
      </rPr>
      <t>reprendre dans le compte des résultats</t>
    </r>
  </si>
  <si>
    <r>
      <rPr>
        <b/>
        <sz val="10"/>
        <rFont val="Arial Narrow"/>
        <family val="2"/>
      </rPr>
      <t>Marge brute produit 3</t>
    </r>
  </si>
  <si>
    <r>
      <rPr>
        <sz val="10"/>
        <rFont val="Arial Narrow"/>
        <family val="2"/>
      </rPr>
      <t>CHF</t>
    </r>
  </si>
  <si>
    <r>
      <rPr>
        <b/>
        <sz val="12"/>
        <rFont val="Arial Narrow"/>
        <family val="2"/>
      </rPr>
      <t>Coûts non imputables</t>
    </r>
  </si>
  <si>
    <r>
      <rPr>
        <b/>
        <sz val="10"/>
        <rFont val="Arial Narrow"/>
        <family val="2"/>
      </rPr>
      <t>Unité</t>
    </r>
  </si>
  <si>
    <r>
      <rPr>
        <b/>
        <sz val="10"/>
        <rFont val="Arial Narrow"/>
        <family val="2"/>
      </rPr>
      <t>n = année précédente</t>
    </r>
  </si>
  <si>
    <r>
      <rPr>
        <b/>
        <sz val="10"/>
        <rFont val="Arial Narrow"/>
        <family val="2"/>
      </rPr>
      <t>n+1 = 1re année du PDR</t>
    </r>
  </si>
  <si>
    <r>
      <rPr>
        <b/>
        <sz val="10"/>
        <rFont val="Arial Narrow"/>
        <family val="2"/>
      </rPr>
      <t>n+2</t>
    </r>
  </si>
  <si>
    <r>
      <rPr>
        <b/>
        <sz val="10"/>
        <rFont val="Arial Narrow"/>
        <family val="2"/>
      </rPr>
      <t>n+3</t>
    </r>
  </si>
  <si>
    <r>
      <rPr>
        <b/>
        <sz val="10"/>
        <rFont val="Arial Narrow"/>
        <family val="2"/>
      </rPr>
      <t>n+4</t>
    </r>
  </si>
  <si>
    <r>
      <rPr>
        <b/>
        <sz val="10"/>
        <rFont val="Arial Narrow"/>
        <family val="2"/>
      </rPr>
      <t>n+5</t>
    </r>
  </si>
  <si>
    <r>
      <rPr>
        <b/>
        <sz val="10"/>
        <rFont val="Arial Narrow"/>
        <family val="2"/>
      </rPr>
      <t>n+6</t>
    </r>
  </si>
  <si>
    <r>
      <rPr>
        <b/>
        <sz val="11"/>
        <color theme="1"/>
        <rFont val="Arial Narrow"/>
        <family val="2"/>
      </rPr>
      <t>Remarques</t>
    </r>
  </si>
  <si>
    <r>
      <rPr>
        <b/>
        <sz val="10"/>
        <rFont val="Arial Narrow"/>
        <family val="2"/>
      </rPr>
      <t>Valeurs indicatives OFAG</t>
    </r>
  </si>
  <si>
    <r>
      <rPr>
        <b/>
        <sz val="10"/>
        <rFont val="Arial Narrow"/>
        <family val="2"/>
      </rPr>
      <t>Sources d</t>
    </r>
    <r>
      <rPr>
        <b/>
        <sz val="10"/>
        <rFont val="Arial Narrow"/>
        <family val="2"/>
      </rPr>
      <t>'information</t>
    </r>
  </si>
  <si>
    <r>
      <rPr>
        <b/>
        <sz val="10"/>
        <rFont val="Arial Narrow"/>
        <family val="2"/>
      </rPr>
      <t>Explication des hypothèses</t>
    </r>
  </si>
  <si>
    <r>
      <rPr>
        <b/>
        <sz val="11"/>
        <rFont val="Arial Narrow"/>
        <family val="2"/>
      </rPr>
      <t>Charges de personnel - sauf la coordination du projet</t>
    </r>
  </si>
  <si>
    <r>
      <rPr>
        <sz val="11"/>
        <rFont val="Arial Narrow"/>
        <family val="2"/>
      </rPr>
      <t>reprendre dans le compte des résultats</t>
    </r>
  </si>
  <si>
    <r>
      <rPr>
        <sz val="10"/>
        <rFont val="Arial Narrow"/>
        <family val="2"/>
      </rPr>
      <t xml:space="preserve">Assurances sociales </t>
    </r>
    <r>
      <rPr>
        <sz val="10"/>
        <rFont val="Arial Narrow"/>
        <family val="2"/>
      </rPr>
      <t>&amp; gestion (sauf les loyers)</t>
    </r>
  </si>
  <si>
    <r>
      <rPr>
        <sz val="10"/>
        <rFont val="Arial Narrow"/>
        <family val="2"/>
      </rPr>
      <t>env. 15% du salaire brut</t>
    </r>
  </si>
  <si>
    <r>
      <rPr>
        <sz val="10"/>
        <rFont val="Arial Narrow"/>
        <family val="2"/>
      </rPr>
      <t>REFLEX Agridea</t>
    </r>
  </si>
  <si>
    <r>
      <rPr>
        <b/>
        <sz val="10"/>
        <rFont val="Arial Narrow"/>
        <family val="2"/>
      </rPr>
      <t>Salaire total</t>
    </r>
  </si>
  <si>
    <r>
      <rPr>
        <sz val="10"/>
        <rFont val="Arial Narrow"/>
        <family val="2"/>
      </rPr>
      <t>Personne 1</t>
    </r>
  </si>
  <si>
    <r>
      <rPr>
        <sz val="10"/>
        <rFont val="Arial Narrow"/>
        <family val="2"/>
      </rPr>
      <t>CHF / mois</t>
    </r>
  </si>
  <si>
    <r>
      <rPr>
        <sz val="10"/>
        <rFont val="Arial Narrow"/>
        <family val="2"/>
      </rPr>
      <t>Personne 2</t>
    </r>
  </si>
  <si>
    <r>
      <rPr>
        <sz val="10"/>
        <rFont val="Arial Narrow"/>
        <family val="2"/>
      </rPr>
      <t>CHF / mois</t>
    </r>
  </si>
  <si>
    <r>
      <rPr>
        <b/>
        <sz val="10"/>
        <rFont val="Arial Narrow"/>
        <family val="2"/>
      </rPr>
      <t>Taux d</t>
    </r>
    <r>
      <rPr>
        <b/>
        <sz val="10"/>
        <rFont val="Arial Narrow"/>
        <family val="2"/>
      </rPr>
      <t>'occupation pour la branche de production</t>
    </r>
  </si>
  <si>
    <r>
      <rPr>
        <sz val="10"/>
        <rFont val="Arial Narrow"/>
        <family val="2"/>
      </rPr>
      <t>Personne 1</t>
    </r>
  </si>
  <si>
    <r>
      <rPr>
        <sz val="10"/>
        <rFont val="Arial Narrow"/>
        <family val="2"/>
      </rPr>
      <t>% pour la branche de production</t>
    </r>
  </si>
  <si>
    <r>
      <rPr>
        <sz val="10"/>
        <rFont val="Arial Narrow"/>
        <family val="2"/>
      </rPr>
      <t>Personne 2</t>
    </r>
  </si>
  <si>
    <r>
      <rPr>
        <sz val="10"/>
        <rFont val="Arial Narrow"/>
        <family val="2"/>
      </rPr>
      <t>% pour la branche de production</t>
    </r>
  </si>
  <si>
    <r>
      <rPr>
        <b/>
        <sz val="11"/>
        <rFont val="Arial Narrow"/>
        <family val="2"/>
      </rPr>
      <t>Bail à loyer / bail à ferme / coûts immobiliers</t>
    </r>
  </si>
  <si>
    <r>
      <rPr>
        <sz val="11"/>
        <rFont val="Arial Narrow"/>
        <family val="2"/>
      </rPr>
      <t>CHF/année</t>
    </r>
  </si>
  <si>
    <r>
      <rPr>
        <sz val="11"/>
        <rFont val="Arial Narrow"/>
        <family val="2"/>
      </rPr>
      <t>reprendre dans le compte des résultats</t>
    </r>
  </si>
  <si>
    <r>
      <rPr>
        <sz val="10"/>
        <rFont val="Arial Narrow"/>
        <family val="2"/>
      </rPr>
      <t>loyer / mois pour l</t>
    </r>
    <r>
      <rPr>
        <sz val="10"/>
        <rFont val="Arial Narrow"/>
        <family val="2"/>
      </rPr>
      <t>'ensemble de l</t>
    </r>
    <r>
      <rPr>
        <sz val="10"/>
        <rFont val="Arial Narrow"/>
        <family val="2"/>
      </rPr>
      <t>'exploitation</t>
    </r>
  </si>
  <si>
    <r>
      <rPr>
        <sz val="10"/>
        <rFont val="Arial Narrow"/>
        <family val="2"/>
      </rPr>
      <t>CHF / mois</t>
    </r>
  </si>
  <si>
    <r>
      <rPr>
        <sz val="10"/>
        <rFont val="Arial Narrow"/>
        <family val="2"/>
      </rPr>
      <t>% part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</si>
  <si>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</si>
  <si>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</si>
  <si>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Entretien, réparation, remplacement</t>
    </r>
  </si>
  <si>
    <r>
      <rPr>
        <sz val="11"/>
        <rFont val="Arial Narrow"/>
        <family val="2"/>
      </rPr>
      <t>reprendre dans le compte des résultats</t>
    </r>
  </si>
  <si>
    <r>
      <rPr>
        <sz val="11"/>
        <rFont val="Arial Narrow"/>
        <family val="2"/>
      </rPr>
      <t>Rapport de base Agroscope</t>
    </r>
  </si>
  <si>
    <r>
      <rPr>
        <sz val="10"/>
        <rFont val="Arial Narrow"/>
        <family val="2"/>
      </rPr>
      <t>Frais d</t>
    </r>
    <r>
      <rPr>
        <sz val="10"/>
        <rFont val="Arial Narrow"/>
        <family val="2"/>
      </rPr>
      <t>'entretien et de réparation</t>
    </r>
  </si>
  <si>
    <r>
      <rPr>
        <sz val="11"/>
        <rFont val="Arial Narrow"/>
        <family val="2"/>
      </rPr>
      <t>CHF</t>
    </r>
  </si>
  <si>
    <r>
      <rPr>
        <sz val="10"/>
        <color rgb="FFFF0000"/>
        <rFont val="Arial Narrow"/>
        <family val="2"/>
      </rPr>
      <t xml:space="preserve">automatiquement à partir du </t>
    </r>
    <r>
      <rPr>
        <sz val="10"/>
        <color rgb="FFFF0000"/>
        <rFont val="Arial Narrow"/>
        <family val="2"/>
      </rPr>
      <t>"tableau de financement</t>
    </r>
    <r>
      <rPr>
        <sz val="10"/>
        <color rgb="FFFF0000"/>
        <rFont val="Arial Narrow"/>
        <family val="2"/>
      </rPr>
      <t>"</t>
    </r>
  </si>
  <si>
    <r>
      <rPr>
        <sz val="10"/>
        <rFont val="Arial Narrow"/>
        <family val="2"/>
      </rPr>
      <t>Frais de remplacement</t>
    </r>
  </si>
  <si>
    <r>
      <rPr>
        <sz val="11"/>
        <rFont val="Arial Narrow"/>
        <family val="2"/>
      </rPr>
      <t>CHF</t>
    </r>
  </si>
  <si>
    <r>
      <rPr>
        <b/>
        <sz val="11"/>
        <rFont val="Arial Narrow"/>
        <family val="2"/>
      </rPr>
      <t>Frais de véhicule et de transport</t>
    </r>
  </si>
  <si>
    <r>
      <rPr>
        <sz val="11"/>
        <rFont val="Arial Narrow"/>
        <family val="2"/>
      </rPr>
      <t>CHF</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</si>
  <si>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</si>
  <si>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</si>
  <si>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t>
    </r>
  </si>
  <si>
    <r>
      <rPr>
        <sz val="10"/>
        <rFont val="Arial Narrow"/>
        <family val="2"/>
      </rPr>
      <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</si>
  <si>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</si>
  <si>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</si>
  <si>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Assurance mobilière</t>
    </r>
    <r>
      <rPr>
        <sz val="10"/>
        <rFont val="Arial Narrow"/>
        <family val="2"/>
      </rPr>
      <t xml:space="preserve"> (y compris la responsabilité civile)</t>
    </r>
  </si>
  <si>
    <r>
      <rPr>
        <sz val="11"/>
        <rFont val="Arial Narrow"/>
        <family val="2"/>
      </rPr>
      <t>CHF</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</si>
  <si>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</si>
  <si>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</si>
  <si>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t>
    </r>
  </si>
  <si>
    <r>
      <rPr>
        <sz val="10"/>
        <rFont val="Arial Narrow"/>
        <family val="2"/>
      </rPr>
      <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</si>
  <si>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</si>
  <si>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</si>
  <si>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Autres charges de fonctionnement</t>
    </r>
  </si>
  <si>
    <r>
      <rPr>
        <sz val="11"/>
        <rFont val="Arial Narrow"/>
        <family val="2"/>
      </rPr>
      <t>reprendre dans le compte des résultats</t>
    </r>
  </si>
  <si>
    <r>
      <rPr>
        <sz val="11"/>
        <rFont val="Arial Narrow"/>
        <family val="2"/>
      </rPr>
      <t>Rapport de base Agroscope</t>
    </r>
  </si>
  <si>
    <r>
      <rPr>
        <sz val="11"/>
        <rFont val="Arial Narrow"/>
        <family val="2"/>
      </rPr>
      <t>CHF</t>
    </r>
  </si>
  <si>
    <r>
      <rPr>
        <sz val="11"/>
        <rFont val="Arial Narrow"/>
        <family val="2"/>
      </rPr>
      <t>CHF</t>
    </r>
  </si>
  <si>
    <r>
      <rPr>
        <b/>
        <sz val="11"/>
        <rFont val="Arial Narrow"/>
        <family val="2"/>
      </rPr>
      <t>Électricité, énergie et coûts d</t>
    </r>
    <r>
      <rPr>
        <b/>
        <sz val="11"/>
        <rFont val="Arial Narrow"/>
        <family val="2"/>
      </rPr>
      <t>'élimination des déchets</t>
    </r>
  </si>
  <si>
    <r>
      <rPr>
        <sz val="11"/>
        <rFont val="Arial Narrow"/>
        <family val="2"/>
      </rPr>
      <t>CHF/année</t>
    </r>
  </si>
  <si>
    <r>
      <rPr>
        <sz val="11"/>
        <rFont val="Arial Narrow"/>
        <family val="2"/>
      </rPr>
      <t>reprendre dans le compte des résultats</t>
    </r>
  </si>
  <si>
    <r>
      <rPr>
        <sz val="10"/>
        <rFont val="Arial Narrow"/>
        <family val="2"/>
      </rPr>
      <t>coûts / année pour l</t>
    </r>
    <r>
      <rPr>
        <sz val="10"/>
        <rFont val="Arial Narrow"/>
        <family val="2"/>
      </rPr>
      <t>'ensemble de l</t>
    </r>
    <r>
      <rPr>
        <sz val="10"/>
        <rFont val="Arial Narrow"/>
        <family val="2"/>
      </rPr>
      <t>'exploitation</t>
    </r>
  </si>
  <si>
    <r>
      <rPr>
        <sz val="10"/>
        <rFont val="Arial Narrow"/>
        <family val="2"/>
      </rPr>
      <t>CHF/année</t>
    </r>
  </si>
  <si>
    <r>
      <rPr>
        <sz val="10"/>
        <rFont val="Arial Narrow"/>
        <family val="2"/>
      </rPr>
      <t>% part pour la branche de production</t>
    </r>
  </si>
  <si>
    <r>
      <rPr>
        <sz val="10"/>
        <rFont val="Arial Narrow"/>
        <family val="2"/>
      </rPr>
      <t>% pour la branche de production</t>
    </r>
  </si>
  <si>
    <r>
      <rPr>
        <sz val="10"/>
        <rFont val="Arial Narrow"/>
        <family val="2"/>
      </rPr>
      <t>100% pour la planification de l</t>
    </r>
    <r>
      <rPr>
        <sz val="10"/>
        <rFont val="Arial Narrow"/>
        <family val="2"/>
      </rPr>
      <t>'ensemble de l</t>
    </r>
    <r>
      <rPr>
        <sz val="10"/>
        <rFont val="Arial Narrow"/>
        <family val="2"/>
      </rPr>
      <t>'exploitation</t>
    </r>
  </si>
  <si>
    <r>
      <rPr>
        <b/>
        <sz val="11"/>
        <rFont val="Arial Narrow"/>
        <family val="2"/>
      </rPr>
      <t>Charges de gestion et d</t>
    </r>
    <r>
      <rPr>
        <b/>
        <sz val="11"/>
        <rFont val="Arial Narrow"/>
        <family val="2"/>
      </rPr>
      <t>'informatique</t>
    </r>
  </si>
  <si>
    <r>
      <rPr>
        <sz val="11"/>
        <rFont val="Arial Narrow"/>
        <family val="2"/>
      </rPr>
      <t>CHF</t>
    </r>
  </si>
  <si>
    <r>
      <rPr>
        <sz val="11"/>
        <rFont val="Arial Narrow"/>
        <family val="2"/>
      </rPr>
      <t>reprendre dans le compte des résultats</t>
    </r>
  </si>
  <si>
    <r>
      <rPr>
        <b/>
        <sz val="10"/>
        <rFont val="Arial Narrow"/>
        <family val="2"/>
      </rPr>
      <t>Charge administrative</t>
    </r>
  </si>
  <si>
    <r>
      <rPr>
        <sz val="10"/>
        <rFont val="Arial Narrow"/>
        <family val="2"/>
      </rPr>
      <t>Charges / ETP</t>
    </r>
  </si>
  <si>
    <r>
      <rPr>
        <sz val="10"/>
        <rFont val="Arial Narrow"/>
        <family val="2"/>
      </rPr>
      <t>CHF / ETP par année</t>
    </r>
  </si>
  <si>
    <r>
      <rPr>
        <sz val="10"/>
        <rFont val="Arial Narrow"/>
        <family val="2"/>
      </rPr>
      <t>Nombre ETP</t>
    </r>
  </si>
  <si>
    <r>
      <rPr>
        <sz val="10"/>
        <rFont val="Arial Narrow"/>
        <family val="2"/>
      </rPr>
      <t>ETP</t>
    </r>
  </si>
  <si>
    <r>
      <rPr>
        <b/>
        <sz val="10"/>
        <rFont val="Arial Narrow"/>
        <family val="2"/>
      </rPr>
      <t>Charges de marketing</t>
    </r>
  </si>
  <si>
    <r>
      <rPr>
        <sz val="10"/>
        <rFont val="Arial Narrow"/>
        <family val="2"/>
      </rPr>
      <t>montant fixe / mois</t>
    </r>
  </si>
  <si>
    <r>
      <rPr>
        <sz val="10"/>
        <rFont val="Arial Narrow"/>
        <family val="2"/>
      </rPr>
      <t>CHF / mois</t>
    </r>
  </si>
  <si>
    <r>
      <rPr>
        <b/>
        <sz val="10"/>
        <rFont val="Arial Narrow"/>
        <family val="2"/>
      </rPr>
      <t>Contribution des membres à l</t>
    </r>
    <r>
      <rPr>
        <b/>
        <sz val="10"/>
        <rFont val="Arial Narrow"/>
        <family val="2"/>
      </rPr>
      <t>'organisation faîtière PDR</t>
    </r>
  </si>
  <si>
    <r>
      <rPr>
        <sz val="10"/>
        <rFont val="Arial Narrow"/>
        <family val="2"/>
      </rPr>
      <t>CHF/année</t>
    </r>
  </si>
  <si>
    <r>
      <rPr>
        <b/>
        <sz val="10"/>
        <rFont val="Arial Narrow"/>
        <family val="2"/>
      </rPr>
      <t>Coordination du projet</t>
    </r>
  </si>
  <si>
    <r>
      <rPr>
        <sz val="10"/>
        <rFont val="Arial Narrow"/>
        <family val="2"/>
      </rPr>
      <t>Liste d</t>
    </r>
    <r>
      <rPr>
        <sz val="10"/>
        <rFont val="Arial Narrow"/>
        <family val="2"/>
      </rPr>
      <t>'honoraires OFPER</t>
    </r>
  </si>
  <si>
    <r>
      <rPr>
        <sz val="10"/>
        <rFont val="Arial Narrow"/>
        <family val="2"/>
      </rPr>
      <t>… interne via l</t>
    </r>
    <r>
      <rPr>
        <sz val="10"/>
        <rFont val="Arial Narrow"/>
        <family val="2"/>
      </rPr>
      <t>'organisation faîtière PDR</t>
    </r>
  </si>
  <si>
    <r>
      <rPr>
        <sz val="10"/>
        <rFont val="Arial Narrow"/>
        <family val="2"/>
      </rPr>
      <t>Part à la coordination globale</t>
    </r>
  </si>
  <si>
    <r>
      <rPr>
        <sz val="10"/>
        <rFont val="Arial Narrow"/>
        <family val="2"/>
      </rPr>
      <t>%</t>
    </r>
  </si>
  <si>
    <r>
      <rPr>
        <sz val="10"/>
        <rFont val="Arial Narrow"/>
        <family val="2"/>
      </rPr>
      <t>Coûts de la coordination globale</t>
    </r>
  </si>
  <si>
    <r>
      <rPr>
        <sz val="10"/>
        <rFont val="Arial Narrow"/>
        <family val="2"/>
      </rPr>
      <t>CHF/année</t>
    </r>
  </si>
  <si>
    <r>
      <rPr>
        <sz val="10"/>
        <rFont val="Arial Narrow"/>
        <family val="2"/>
      </rPr>
      <t>… par un coach externe</t>
    </r>
  </si>
  <si>
    <r>
      <rPr>
        <sz val="10"/>
        <rFont val="Arial Narrow"/>
        <family val="2"/>
      </rPr>
      <t>Journées de travail</t>
    </r>
  </si>
  <si>
    <r>
      <rPr>
        <sz val="10"/>
        <rFont val="Arial Narrow"/>
        <family val="2"/>
      </rPr>
      <t>Jours</t>
    </r>
  </si>
  <si>
    <r>
      <rPr>
        <sz val="10"/>
        <rFont val="Arial Narrow"/>
        <family val="2"/>
      </rPr>
      <t>Tarif journalier, poste de travail et frais compris</t>
    </r>
  </si>
  <si>
    <r>
      <rPr>
        <sz val="10"/>
        <rFont val="Arial Narrow"/>
        <family val="2"/>
      </rPr>
      <t>CHF/jour</t>
    </r>
  </si>
  <si>
    <r>
      <rPr>
        <sz val="10"/>
        <rFont val="Arial Narrow"/>
        <family val="2"/>
      </rPr>
      <t>Liste d</t>
    </r>
    <r>
      <rPr>
        <sz val="10"/>
        <rFont val="Arial Narrow"/>
        <family val="2"/>
      </rPr>
      <t>'honoraires OFPER</t>
    </r>
  </si>
  <si>
    <r>
      <rPr>
        <b/>
        <sz val="11"/>
        <rFont val="Arial Narrow"/>
        <family val="2"/>
      </rPr>
      <t>Amortissements</t>
    </r>
  </si>
  <si>
    <r>
      <rPr>
        <sz val="11"/>
        <rFont val="Arial Narrow"/>
        <family val="2"/>
      </rPr>
      <t>reprendre dans le compte des résultats</t>
    </r>
  </si>
  <si>
    <r>
      <rPr>
        <sz val="10"/>
        <rFont val="Arial Narrow"/>
        <family val="2"/>
      </rPr>
      <t>Amortissements</t>
    </r>
  </si>
  <si>
    <r>
      <rPr>
        <sz val="11"/>
        <rFont val="Arial Narrow"/>
        <family val="2"/>
      </rPr>
      <t>CHF</t>
    </r>
  </si>
  <si>
    <r>
      <rPr>
        <sz val="10"/>
        <color rgb="FFFF0000"/>
        <rFont val="Arial Narrow"/>
        <family val="2"/>
      </rPr>
      <t xml:space="preserve">automatiquement à partir du </t>
    </r>
    <r>
      <rPr>
        <sz val="10"/>
        <color rgb="FFFF0000"/>
        <rFont val="Arial Narrow"/>
        <family val="2"/>
      </rPr>
      <t>"tableau de financement</t>
    </r>
    <r>
      <rPr>
        <sz val="10"/>
        <color rgb="FFFF0000"/>
        <rFont val="Arial Narrow"/>
        <family val="2"/>
      </rPr>
      <t>"</t>
    </r>
  </si>
  <si>
    <r>
      <rPr>
        <b/>
        <sz val="10"/>
        <rFont val="Arial Narrow"/>
        <family val="2"/>
      </rPr>
      <t>Impôts</t>
    </r>
  </si>
  <si>
    <r>
      <rPr>
        <sz val="11"/>
        <rFont val="Arial Narrow"/>
        <family val="2"/>
      </rPr>
      <t>reprendre dans le compte des résultats</t>
    </r>
  </si>
  <si>
    <r>
      <rPr>
        <sz val="10"/>
        <rFont val="Arial Narrow"/>
        <family val="2"/>
      </rPr>
      <t>Taux d</t>
    </r>
    <r>
      <rPr>
        <sz val="10"/>
        <rFont val="Arial Narrow"/>
        <family val="2"/>
      </rPr>
      <t>'imposition</t>
    </r>
  </si>
  <si>
    <r>
      <rPr>
        <sz val="12"/>
        <color rgb="FFFF0000"/>
        <rFont val="Arial Narrow"/>
        <family val="2"/>
      </rPr>
      <t>Investissements collectifs (hardware) dans l</t>
    </r>
    <r>
      <rPr>
        <sz val="12"/>
        <color rgb="FFFF0000"/>
        <rFont val="Arial Narrow"/>
        <family val="2"/>
      </rPr>
      <t>'intérêt de l</t>
    </r>
    <r>
      <rPr>
        <sz val="12"/>
        <color rgb="FFFF0000"/>
        <rFont val="Arial Narrow"/>
        <family val="2"/>
      </rPr>
      <t>'ensemble du projet</t>
    </r>
  </si>
  <si>
    <r>
      <rPr>
        <sz val="12"/>
        <rFont val="Arial Narrow"/>
        <family val="2"/>
      </rPr>
      <t>selon la situation de l</t>
    </r>
    <r>
      <rPr>
        <sz val="12"/>
        <rFont val="Arial Narrow"/>
        <family val="2"/>
      </rPr>
      <t>'exploitation</t>
    </r>
  </si>
  <si>
    <r>
      <rPr>
        <b/>
        <sz val="12"/>
        <rFont val="Arial Narrow"/>
        <family val="2"/>
      </rPr>
      <t>TO 2021</t>
    </r>
  </si>
  <si>
    <r>
      <rPr>
        <b/>
        <sz val="12"/>
        <rFont val="Arial Narrow"/>
        <family val="2"/>
      </rPr>
      <t>Réduction en % des coûts donnant droit à une contribution</t>
    </r>
  </si>
  <si>
    <r>
      <rPr>
        <sz val="12"/>
        <rFont val="Arial Narrow"/>
        <family val="2"/>
      </rPr>
      <t>Bonus PDR</t>
    </r>
  </si>
  <si>
    <r>
      <rPr>
        <b/>
        <sz val="12"/>
        <rFont val="Arial Narrow"/>
        <family val="2"/>
      </rPr>
      <t>Taux des contributions de la Confédération</t>
    </r>
  </si>
  <si>
    <r>
      <rPr>
        <b/>
        <sz val="12"/>
        <rFont val="Arial Narrow"/>
        <family val="2"/>
      </rPr>
      <t>Mesure</t>
    </r>
  </si>
  <si>
    <r>
      <rPr>
        <b/>
        <sz val="12"/>
        <rFont val="Arial Narrow"/>
        <family val="2"/>
      </rPr>
      <t>orienté sur la chaîne de création de valeur</t>
    </r>
  </si>
  <si>
    <r>
      <rPr>
        <b/>
        <sz val="12"/>
        <rFont val="Arial Narrow"/>
        <family val="2"/>
      </rPr>
      <t>intersectorielle</t>
    </r>
  </si>
  <si>
    <r>
      <rPr>
        <b/>
        <sz val="12"/>
        <rFont val="Arial Narrow"/>
        <family val="2"/>
      </rPr>
      <t>orienté sur la chaîne de création de valeur</t>
    </r>
  </si>
  <si>
    <r>
      <rPr>
        <b/>
        <sz val="12"/>
        <rFont val="Arial Narrow"/>
        <family val="2"/>
      </rPr>
      <t>intersectorielle</t>
    </r>
  </si>
  <si>
    <r>
      <rPr>
        <b/>
        <sz val="12"/>
        <rFont val="Arial Narrow"/>
        <family val="2"/>
      </rPr>
      <t>orienté sur la chaîne de création de valeur</t>
    </r>
  </si>
  <si>
    <r>
      <rPr>
        <b/>
        <sz val="12"/>
        <rFont val="Arial Narrow"/>
        <family val="2"/>
      </rPr>
      <t>intersectorielle</t>
    </r>
  </si>
  <si>
    <r>
      <rPr>
        <b/>
        <sz val="12"/>
        <rFont val="Arial Narrow"/>
        <family val="2"/>
      </rPr>
      <t>Participation cantonale à la contribution fédérale</t>
    </r>
  </si>
  <si>
    <r>
      <rPr>
        <sz val="12"/>
        <rFont val="Arial Narrow"/>
        <family val="2"/>
      </rPr>
      <t>…veuillez sélectionner la mesure</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</si>
  <si>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</si>
  <si>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</si>
  <si>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</si>
  <si>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</si>
  <si>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</si>
  <si>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selon la situation de l</t>
    </r>
    <r>
      <rPr>
        <sz val="12"/>
        <rFont val="Arial Narrow"/>
        <family val="2"/>
      </rPr>
      <t>'exploitation</t>
    </r>
  </si>
  <si>
    <r>
      <rPr>
        <sz val="12"/>
        <rFont val="Arial Narrow"/>
        <family val="2"/>
      </rPr>
      <t>complet</t>
    </r>
  </si>
  <si>
    <r>
      <rPr>
        <sz val="12"/>
        <rFont val="Arial Narrow"/>
        <family val="2"/>
      </rPr>
      <t>SAF</t>
    </r>
  </si>
  <si>
    <r>
      <rPr>
        <sz val="12"/>
        <rFont val="Arial Narrow"/>
        <family val="2"/>
      </rPr>
      <t>communautaires</t>
    </r>
  </si>
  <si>
    <r>
      <rPr>
        <sz val="12"/>
        <rFont val="Arial Narrow"/>
        <family val="2"/>
      </rPr>
      <t>reprendre du modèle Bâtiments ruraux</t>
    </r>
  </si>
  <si>
    <r>
      <rPr>
        <sz val="12"/>
        <rFont val="Arial Narrow"/>
        <family val="2"/>
      </rPr>
      <t>unique</t>
    </r>
  </si>
  <si>
    <r>
      <rPr>
        <sz val="12"/>
        <color theme="1"/>
        <rFont val="Arial Narrow"/>
        <family val="2"/>
      </rPr>
      <t>selon qu</t>
    </r>
    <r>
      <rPr>
        <sz val="12"/>
        <color theme="1"/>
        <rFont val="Arial Narrow"/>
        <family val="2"/>
      </rPr>
      <t>'il s</t>
    </r>
    <r>
      <rPr>
        <sz val="12"/>
        <color theme="1"/>
        <rFont val="Arial Narrow"/>
        <family val="2"/>
      </rPr>
      <t>'agit d</t>
    </r>
    <r>
      <rPr>
        <sz val="12"/>
        <color theme="1"/>
        <rFont val="Arial Narrow"/>
        <family val="2"/>
      </rPr>
      <t>'une mesure collective ou individuelle</t>
    </r>
  </si>
  <si>
    <r>
      <rPr>
        <b/>
        <sz val="12"/>
        <rFont val="Arial Narrow"/>
        <family val="2"/>
      </rPr>
      <t>Situation de l</t>
    </r>
    <r>
      <rPr>
        <b/>
        <sz val="12"/>
        <rFont val="Arial Narrow"/>
        <family val="2"/>
      </rPr>
      <t>'exploitation</t>
    </r>
  </si>
  <si>
    <r>
      <rPr>
        <b/>
        <sz val="12"/>
        <rFont val="Arial Narrow"/>
        <family val="2"/>
      </rPr>
      <t>Taux des contributions de la Confédération</t>
    </r>
  </si>
  <si>
    <r>
      <rPr>
        <sz val="12"/>
        <rFont val="Arial Narrow"/>
        <family val="2"/>
      </rPr>
      <t>…veuillez sélectionner la mesure</t>
    </r>
  </si>
  <si>
    <r>
      <rPr>
        <sz val="12"/>
        <rFont val="Arial Narrow"/>
        <family val="2"/>
      </rPr>
      <t>Plaine</t>
    </r>
  </si>
  <si>
    <r>
      <rPr>
        <sz val="12"/>
        <rFont val="Arial Narrow"/>
        <family val="2"/>
      </rPr>
      <t>ZC / ZM I</t>
    </r>
  </si>
  <si>
    <r>
      <rPr>
        <b/>
        <sz val="12"/>
        <rFont val="Arial Narrow"/>
        <family val="2"/>
      </rPr>
      <t>Production</t>
    </r>
  </si>
  <si>
    <r>
      <rPr>
        <b/>
        <sz val="12"/>
        <rFont val="Arial Narrow"/>
        <family val="2"/>
      </rPr>
      <t>Transformation</t>
    </r>
  </si>
  <si>
    <r>
      <rPr>
        <b/>
        <sz val="12"/>
        <rFont val="Arial Narrow"/>
        <family val="2"/>
      </rPr>
      <t>Commercialisation</t>
    </r>
  </si>
  <si>
    <r>
      <rPr>
        <b/>
        <sz val="12"/>
        <rFont val="Arial Narrow"/>
        <family val="2"/>
      </rPr>
      <t>Autres</t>
    </r>
  </si>
  <si>
    <r>
      <rPr>
        <sz val="12"/>
        <rFont val="Arial Narrow"/>
        <family val="2"/>
      </rPr>
      <t>sélectionner</t>
    </r>
  </si>
  <si>
    <r>
      <rPr>
        <sz val="9"/>
        <color theme="1"/>
        <rFont val="Arial Narrow"/>
        <family val="2"/>
      </rPr>
      <t xml:space="preserve">Fruits et légumes (F </t>
    </r>
    <r>
      <rPr>
        <sz val="9"/>
        <color theme="1"/>
        <rFont val="Arial Narrow"/>
        <family val="2"/>
      </rPr>
      <t>&amp; L)</t>
    </r>
  </si>
  <si>
    <r>
      <rPr>
        <sz val="9"/>
        <color theme="1"/>
        <rFont val="Arial Narrow"/>
        <family val="2"/>
      </rPr>
      <t xml:space="preserve">Transformation F </t>
    </r>
    <r>
      <rPr>
        <sz val="9"/>
        <color theme="1"/>
        <rFont val="Arial Narrow"/>
        <family val="2"/>
      </rPr>
      <t>&amp; L</t>
    </r>
  </si>
  <si>
    <r>
      <rPr>
        <sz val="9"/>
        <color rgb="FF000000"/>
        <rFont val="Arial Narrow"/>
        <family val="2"/>
      </rPr>
      <t>Mise en valeur de la région</t>
    </r>
  </si>
  <si>
    <r>
      <rPr>
        <sz val="9"/>
        <color theme="1"/>
        <rFont val="Arial Narrow"/>
        <family val="2"/>
      </rPr>
      <t xml:space="preserve">Logistique </t>
    </r>
    <r>
      <rPr>
        <sz val="9"/>
        <color theme="1"/>
        <rFont val="Arial Narrow"/>
        <family val="2"/>
      </rPr>
      <t>&amp; stockage</t>
    </r>
  </si>
  <si>
    <r>
      <rPr>
        <sz val="9"/>
        <color theme="1"/>
        <rFont val="Arial Narrow"/>
        <family val="2"/>
      </rPr>
      <t>Vinification</t>
    </r>
  </si>
  <si>
    <r>
      <rPr>
        <sz val="9"/>
        <color theme="1"/>
        <rFont val="Arial Narrow"/>
        <family val="2"/>
      </rPr>
      <t xml:space="preserve">Restauration </t>
    </r>
  </si>
  <si>
    <r>
      <rPr>
        <sz val="9"/>
        <color theme="1"/>
        <rFont val="Arial Narrow"/>
        <family val="2"/>
      </rPr>
      <t>Vente directe</t>
    </r>
  </si>
  <si>
    <r>
      <rPr>
        <sz val="9"/>
        <color theme="1"/>
        <rFont val="Arial Narrow"/>
        <family val="2"/>
      </rPr>
      <t>Divers</t>
    </r>
  </si>
  <si>
    <r>
      <rPr>
        <sz val="9"/>
        <color theme="1"/>
        <rFont val="Arial Narrow"/>
        <family val="2"/>
      </rPr>
      <t>Lait</t>
    </r>
  </si>
  <si>
    <r>
      <rPr>
        <sz val="9"/>
        <color theme="1"/>
        <rFont val="Arial Narrow"/>
        <family val="2"/>
      </rPr>
      <t>Lait</t>
    </r>
  </si>
  <si>
    <r>
      <rPr>
        <sz val="9"/>
        <color theme="1"/>
        <rFont val="Arial Narrow"/>
        <family val="2"/>
      </rPr>
      <t>Communication, marketing</t>
    </r>
  </si>
  <si>
    <r>
      <rPr>
        <sz val="9"/>
        <color theme="1"/>
        <rFont val="Arial Narrow"/>
        <family val="2"/>
      </rPr>
      <t>Offres pédagogiques</t>
    </r>
  </si>
  <si>
    <r>
      <rPr>
        <sz val="9"/>
        <color theme="1"/>
        <rFont val="Arial Narrow"/>
        <family val="2"/>
      </rPr>
      <t>Engraissement</t>
    </r>
  </si>
  <si>
    <r>
      <rPr>
        <sz val="9"/>
        <color theme="1"/>
        <rFont val="Arial Narrow"/>
        <family val="2"/>
      </rPr>
      <t>Viande</t>
    </r>
  </si>
  <si>
    <r>
      <rPr>
        <sz val="9"/>
        <color theme="1"/>
        <rFont val="Arial Narrow"/>
        <family val="2"/>
      </rPr>
      <t>Divers</t>
    </r>
  </si>
  <si>
    <r>
      <rPr>
        <sz val="9"/>
        <color theme="1"/>
        <rFont val="Arial Narrow"/>
        <family val="2"/>
      </rPr>
      <t>Energies renouvelables</t>
    </r>
  </si>
  <si>
    <r>
      <rPr>
        <sz val="9"/>
        <color theme="1"/>
        <rFont val="Arial Narrow"/>
        <family val="2"/>
      </rPr>
      <t>Alpage (lait, engraissement, étable)</t>
    </r>
  </si>
  <si>
    <r>
      <rPr>
        <sz val="9"/>
        <color theme="1"/>
        <rFont val="Arial Narrow"/>
        <family val="2"/>
      </rPr>
      <t>Alpage</t>
    </r>
  </si>
  <si>
    <r>
      <rPr>
        <sz val="9"/>
        <color theme="1"/>
        <rFont val="Arial Narrow"/>
        <family val="2"/>
      </rPr>
      <t>Divers</t>
    </r>
  </si>
  <si>
    <r>
      <rPr>
        <sz val="9"/>
        <color theme="1"/>
        <rFont val="Arial Narrow"/>
        <family val="2"/>
      </rPr>
      <t>Divers</t>
    </r>
  </si>
  <si>
    <r>
      <rPr>
        <sz val="9"/>
        <color theme="1"/>
        <rFont val="Arial Narrow"/>
        <family val="2"/>
      </rPr>
      <t>Divers</t>
    </r>
  </si>
  <si>
    <r>
      <rPr>
        <b/>
        <sz val="12"/>
        <rFont val="Arial Narrow"/>
        <family val="2"/>
      </rPr>
      <t>Unité d</t>
    </r>
    <r>
      <rPr>
        <b/>
        <sz val="12"/>
        <rFont val="Arial Narrow"/>
        <family val="2"/>
      </rPr>
      <t>'observation</t>
    </r>
  </si>
  <si>
    <r>
      <rPr>
        <b/>
        <sz val="12"/>
        <rFont val="Arial Narrow"/>
        <family val="2"/>
      </rPr>
      <t>Porteur de projet</t>
    </r>
  </si>
  <si>
    <r>
      <rPr>
        <sz val="12"/>
        <color theme="1"/>
        <rFont val="Arial Narrow"/>
        <family val="2"/>
      </rPr>
      <t>Exploitation</t>
    </r>
  </si>
  <si>
    <r>
      <rPr>
        <sz val="12"/>
        <color theme="1"/>
        <rFont val="Arial Narrow"/>
        <family val="2"/>
      </rPr>
      <t>Exploitation individuelle</t>
    </r>
  </si>
  <si>
    <r>
      <rPr>
        <sz val="12"/>
        <color theme="1"/>
        <rFont val="Arial Narrow"/>
        <family val="2"/>
      </rPr>
      <t>Branche de production</t>
    </r>
  </si>
  <si>
    <r>
      <rPr>
        <sz val="12"/>
        <color theme="1"/>
        <rFont val="Arial Narrow"/>
        <family val="2"/>
      </rPr>
      <t>communautaires</t>
    </r>
  </si>
  <si>
    <r>
      <rPr>
        <sz val="12"/>
        <color theme="1"/>
        <rFont val="Arial Narrow"/>
        <family val="2"/>
      </rPr>
      <t>sélectionner</t>
    </r>
  </si>
  <si>
    <r>
      <rPr>
        <b/>
        <sz val="12"/>
        <rFont val="Arial Narrow"/>
        <family val="2"/>
      </rPr>
      <t>Le porteur de projet existait-il déjà avant le PDR?</t>
    </r>
  </si>
  <si>
    <r>
      <rPr>
        <sz val="12"/>
        <rFont val="Arial Narrow"/>
        <family val="2"/>
      </rPr>
      <t>Type de PDR</t>
    </r>
  </si>
  <si>
    <r>
      <rPr>
        <sz val="12"/>
        <color theme="1"/>
        <rFont val="Arial Narrow"/>
        <family val="2"/>
      </rPr>
      <t>oui</t>
    </r>
  </si>
  <si>
    <r>
      <rPr>
        <sz val="12"/>
        <rFont val="Arial Narrow"/>
        <family val="2"/>
      </rPr>
      <t>orienté sur la chaîne de création de valeur</t>
    </r>
  </si>
  <si>
    <r>
      <rPr>
        <sz val="12"/>
        <color theme="1"/>
        <rFont val="Arial Narrow"/>
        <family val="2"/>
      </rPr>
      <t>non</t>
    </r>
  </si>
  <si>
    <r>
      <rPr>
        <sz val="12"/>
        <rFont val="Arial Narrow"/>
        <family val="2"/>
      </rPr>
      <t>intersectoriel</t>
    </r>
  </si>
  <si>
    <r>
      <rPr>
        <sz val="12"/>
        <color theme="1"/>
        <rFont val="Arial Narrow"/>
        <family val="2"/>
      </rPr>
      <t>sélectionner</t>
    </r>
  </si>
  <si>
    <r>
      <rPr>
        <sz val="12"/>
        <rFont val="Arial Narrow"/>
        <family val="2"/>
      </rPr>
      <t>sélectionner</t>
    </r>
  </si>
  <si>
    <r>
      <rPr>
        <b/>
        <sz val="12"/>
        <rFont val="Arial Narrow"/>
        <family val="2"/>
      </rPr>
      <t>Sources de financement</t>
    </r>
  </si>
  <si>
    <r>
      <rPr>
        <sz val="12"/>
        <color theme="1"/>
        <rFont val="Arial Narrow"/>
        <family val="2"/>
      </rPr>
      <t>…veuillez sélectionner la source de financement</t>
    </r>
  </si>
  <si>
    <r>
      <rPr>
        <sz val="12"/>
        <color theme="1"/>
        <rFont val="Arial Narrow"/>
        <family val="2"/>
      </rPr>
      <t>Fonds propres</t>
    </r>
  </si>
  <si>
    <r>
      <rPr>
        <sz val="12"/>
        <color theme="1"/>
        <rFont val="Arial Narrow"/>
        <family val="2"/>
      </rPr>
      <t>Financement du solde inconnu</t>
    </r>
  </si>
  <si>
    <r>
      <rPr>
        <b/>
        <sz val="12"/>
        <rFont val="Arial Narrow"/>
        <family val="2"/>
      </rPr>
      <t>Assuré?</t>
    </r>
  </si>
  <si>
    <r>
      <rPr>
        <sz val="12"/>
        <color theme="1"/>
        <rFont val="Arial Narrow"/>
        <family val="2"/>
      </rPr>
      <t>...veuillez sélectionner</t>
    </r>
  </si>
  <si>
    <r>
      <rPr>
        <sz val="12"/>
        <color theme="1"/>
        <rFont val="Arial Narrow"/>
        <family val="2"/>
      </rPr>
      <t>oui</t>
    </r>
  </si>
  <si>
    <r>
      <rPr>
        <sz val="12"/>
        <color theme="1"/>
        <rFont val="Arial Narrow"/>
        <family val="2"/>
      </rPr>
      <t>non</t>
    </r>
  </si>
  <si>
    <r>
      <rPr>
        <sz val="12"/>
        <color theme="1"/>
        <rFont val="Arial Narrow"/>
        <family val="2"/>
      </rPr>
      <t>sélectionner</t>
    </r>
  </si>
  <si>
    <r>
      <t>Investissements collectifs dans l</t>
    </r>
    <r>
      <rPr>
        <sz val="12"/>
        <color rgb="FFFF0000"/>
        <rFont val="Arial Narrow"/>
        <family val="2"/>
      </rPr>
      <t>'intérêt de l</t>
    </r>
    <r>
      <rPr>
        <sz val="12"/>
        <color rgb="FFFF0000"/>
        <rFont val="Arial Narrow"/>
        <family val="2"/>
      </rPr>
      <t>'ensemble du projet</t>
    </r>
  </si>
  <si>
    <r>
      <t>Mise en place d</t>
    </r>
    <r>
      <rPr>
        <sz val="12"/>
        <rFont val="Arial Narrow"/>
        <family val="2"/>
      </rPr>
      <t>'une branche de production dans l</t>
    </r>
    <r>
      <rPr>
        <sz val="12"/>
        <rFont val="Arial Narrow"/>
        <family val="2"/>
      </rPr>
      <t>'exploitation agricole</t>
    </r>
  </si>
  <si>
    <r>
      <t>Autres mesures dans l</t>
    </r>
    <r>
      <rPr>
        <sz val="12"/>
        <rFont val="Arial Narrow"/>
        <family val="2"/>
      </rPr>
      <t>'intérêt du projet global (réduction min. 50%)</t>
    </r>
  </si>
  <si>
    <r>
      <t>Construction individuelle d</t>
    </r>
    <r>
      <rPr>
        <sz val="12"/>
        <color rgb="FF7030A0"/>
        <rFont val="Arial Narrow"/>
        <family val="2"/>
      </rPr>
      <t>'étables pour animaux consommant des fourrages grossiers</t>
    </r>
  </si>
  <si>
    <r>
      <t>Mesures d</t>
    </r>
    <r>
      <rPr>
        <sz val="12"/>
        <color rgb="FF7030A0"/>
        <rFont val="Arial Narrow"/>
        <family val="2"/>
      </rPr>
      <t>'améliorations foncières</t>
    </r>
  </si>
  <si>
    <t>sélectionner</t>
  </si>
  <si>
    <t>reprendre du modèle Bâtiments ruraux</t>
  </si>
  <si>
    <r>
      <t>veuillez clarifier spécifiquement avec l</t>
    </r>
    <r>
      <rPr>
        <sz val="12"/>
        <rFont val="Arial Narrow"/>
        <family val="2"/>
      </rPr>
      <t>'OFAG</t>
    </r>
  </si>
  <si>
    <t>Mesures individuelles contribuant à la protection de l'environnement</t>
  </si>
  <si>
    <t>Direction du PDR (ne compte pas comme PP)</t>
  </si>
  <si>
    <t>Crédit d’investissement</t>
  </si>
  <si>
    <t>Prêts de tiers</t>
  </si>
  <si>
    <t>Hypothèque</t>
  </si>
  <si>
    <t>Prêts bancaires</t>
  </si>
  <si>
    <t>Fonds propres</t>
  </si>
  <si>
    <t>Nom du projet partiel (PP)</t>
  </si>
  <si>
    <t>Date</t>
  </si>
  <si>
    <t>Type de PDR</t>
  </si>
  <si>
    <t xml:space="preserve">Orientation </t>
  </si>
  <si>
    <t xml:space="preserve">Type de projet </t>
  </si>
  <si>
    <t>Type de porteur de projet</t>
  </si>
  <si>
    <t>Unité d'observation de la planification financière</t>
  </si>
  <si>
    <t>Instructions</t>
  </si>
  <si>
    <t>ne remplir que les champs jaunes</t>
  </si>
  <si>
    <t>Cellule avec menu déroulant</t>
  </si>
  <si>
    <t>si la taille de la police est trop petite: veuillez passer l'affichage à 100% (en bas à droite dans la barre grise en bas du programme Excel)</t>
  </si>
  <si>
    <t>Taux de contribution définitif de la Confédération</t>
  </si>
  <si>
    <t>Investissement</t>
  </si>
  <si>
    <t>Total des coûts d'investissement</t>
  </si>
  <si>
    <t>Situation de l'exploitation</t>
  </si>
  <si>
    <t>Mesure</t>
  </si>
  <si>
    <t>N° de la mesure</t>
  </si>
  <si>
    <t>coûts ne donnant pas droit à une contribution</t>
  </si>
  <si>
    <t>coûts donnant droit à une contribution</t>
  </si>
  <si>
    <t>Réduction des coûts donnant droit à une contribution</t>
  </si>
  <si>
    <t>Coûts déterminants donnant droit à une contribution</t>
  </si>
  <si>
    <t>Bonus pour le type de PDR</t>
  </si>
  <si>
    <t>Participation minimale du canton à la contribution fédérale</t>
  </si>
  <si>
    <t xml:space="preserve">Taux des contributions du canton  
</t>
  </si>
  <si>
    <t>Total des contributions publiques</t>
  </si>
  <si>
    <t>Part des coûts d'investissement</t>
  </si>
  <si>
    <t>CI</t>
  </si>
  <si>
    <t>Prêts</t>
  </si>
  <si>
    <t>Financement du solde non assuré</t>
  </si>
  <si>
    <t>Total du financement du solde</t>
  </si>
  <si>
    <t>Contrôle (financement du solde = lacune)</t>
  </si>
  <si>
    <t>Investissement 1 (p. ex. local de vente)</t>
  </si>
  <si>
    <t>Investissement 2</t>
  </si>
  <si>
    <t>…veuillez sélectionner la mesure</t>
  </si>
  <si>
    <t>Investissement 3</t>
  </si>
  <si>
    <t>Investissement 4</t>
  </si>
  <si>
    <t>Investissement 5</t>
  </si>
  <si>
    <t>Investissement 6</t>
  </si>
  <si>
    <t>Investissement 7</t>
  </si>
  <si>
    <t>Investissement 8</t>
  </si>
  <si>
    <t>Total</t>
  </si>
  <si>
    <t>Résultat annuel net</t>
  </si>
  <si>
    <t>CHF</t>
  </si>
  <si>
    <t>Financement du solde</t>
  </si>
  <si>
    <t>Planification financière: Compte des résultats</t>
  </si>
  <si>
    <t>Aperçu du compte des résultats planifié [CHF]</t>
  </si>
  <si>
    <t>Part du résultat total</t>
  </si>
  <si>
    <t>n = année précédente</t>
  </si>
  <si>
    <t>n+2</t>
  </si>
  <si>
    <t>n+3</t>
  </si>
  <si>
    <t>n+4</t>
  </si>
  <si>
    <t>n+5</t>
  </si>
  <si>
    <t>n+6</t>
  </si>
  <si>
    <t>1re année après la mise en oeuvre</t>
  </si>
  <si>
    <t>...Autres recettes</t>
  </si>
  <si>
    <t xml:space="preserve">Marge brute </t>
  </si>
  <si>
    <t>Marge brute après les charges de personnel</t>
  </si>
  <si>
    <t xml:space="preserve">charges non directement imputables </t>
  </si>
  <si>
    <t>% de l'exploitation totale</t>
  </si>
  <si>
    <t>Bail à loyer / bail à ferme / coûts immobiliers</t>
  </si>
  <si>
    <t>Entretien, réparation, remplacement des immobilisations corporelles meubles</t>
  </si>
  <si>
    <t>Frais de véhicule et de transport</t>
  </si>
  <si>
    <t>Assurance mobilière</t>
  </si>
  <si>
    <t>Électricité, énergie et coûts d'élimination des déchets</t>
  </si>
  <si>
    <t>Charges de gestion et de publicité</t>
  </si>
  <si>
    <t>Autres charges de fonctionnement</t>
  </si>
  <si>
    <t>Amortissements</t>
  </si>
  <si>
    <t>Charges financières (intérêts)</t>
  </si>
  <si>
    <t>Stocks</t>
  </si>
  <si>
    <t>Impôts</t>
  </si>
  <si>
    <t>Résultat net cumulé</t>
  </si>
  <si>
    <t>Analyse de sensibilité</t>
  </si>
  <si>
    <t>Saisissez la valeur de "x" avec le signe +/-</t>
  </si>
  <si>
    <t>Evolution du revenu annuel de x%</t>
  </si>
  <si>
    <t>Evolution des charges directes annuelles de x%</t>
  </si>
  <si>
    <t>Evolution des frais de personnel annuels</t>
  </si>
  <si>
    <t>Evolution des coûts non imputables de x%.</t>
  </si>
  <si>
    <t xml:space="preserve">Charges de personnel </t>
  </si>
  <si>
    <t>(peuvent aussi être comptabilisées dans les charges directes)</t>
  </si>
  <si>
    <t>Investissement 9</t>
  </si>
  <si>
    <t>Explication des hypothèses</t>
  </si>
  <si>
    <t>Le porteur de projet existait-il déjà avant le PDR?</t>
  </si>
  <si>
    <t>E) Controlling et monitoring</t>
  </si>
  <si>
    <r>
      <t xml:space="preserve">Taux des contributions de la Confédération </t>
    </r>
    <r>
      <rPr>
        <b/>
        <sz val="12"/>
        <color theme="1"/>
        <rFont val="Arial Narrow"/>
        <family val="2"/>
      </rPr>
      <t>sans</t>
    </r>
    <r>
      <rPr>
        <sz val="12"/>
        <color theme="1"/>
        <rFont val="Arial Narrow"/>
        <family val="2"/>
      </rPr>
      <t xml:space="preserve"> bonus PDR</t>
    </r>
  </si>
  <si>
    <r>
      <t xml:space="preserve">Taux des contributions de la Confédération </t>
    </r>
    <r>
      <rPr>
        <b/>
        <sz val="12"/>
        <color theme="1"/>
        <rFont val="Arial Narrow"/>
        <family val="2"/>
      </rPr>
      <t xml:space="preserve">avec </t>
    </r>
    <r>
      <rPr>
        <sz val="12"/>
        <color theme="1"/>
        <rFont val="Arial Narrow"/>
        <family val="2"/>
      </rPr>
      <t>bonus PDR</t>
    </r>
  </si>
  <si>
    <r>
      <t xml:space="preserve">Rapport final </t>
    </r>
    <r>
      <rPr>
        <b/>
        <sz val="12"/>
        <color theme="1"/>
        <rFont val="Arial Narrow"/>
        <family val="2"/>
      </rPr>
      <t>investissement effectif</t>
    </r>
  </si>
  <si>
    <r>
      <t xml:space="preserve">Rapport final </t>
    </r>
    <r>
      <rPr>
        <b/>
        <sz val="12"/>
        <color theme="1"/>
        <rFont val="Arial Narrow"/>
        <family val="2"/>
      </rPr>
      <t xml:space="preserve">contribution fédérale effective </t>
    </r>
  </si>
  <si>
    <t xml:space="preserve">Contribution 	fédérale	</t>
  </si>
  <si>
    <r>
      <t xml:space="preserve">Rapport intermédiaire </t>
    </r>
    <r>
      <rPr>
        <b/>
        <sz val="12"/>
        <color theme="1"/>
        <rFont val="Arial Narrow"/>
        <family val="2"/>
      </rPr>
      <t>investissement effectif 1</t>
    </r>
  </si>
  <si>
    <r>
      <t xml:space="preserve">Rapport intermédiaire </t>
    </r>
    <r>
      <rPr>
        <b/>
        <sz val="12"/>
        <color theme="1"/>
        <rFont val="Arial Narrow"/>
        <family val="2"/>
      </rPr>
      <t>contribution fédérale effective 1</t>
    </r>
  </si>
  <si>
    <r>
      <t xml:space="preserve">Rapport intermédiaire </t>
    </r>
    <r>
      <rPr>
        <b/>
        <sz val="12"/>
        <color theme="1"/>
        <rFont val="Arial Narrow"/>
        <family val="2"/>
      </rPr>
      <t>investissement effectif 2</t>
    </r>
  </si>
  <si>
    <r>
      <t xml:space="preserve">Rapport intermédiaire </t>
    </r>
    <r>
      <rPr>
        <b/>
        <sz val="12"/>
        <color theme="1"/>
        <rFont val="Arial Narrow"/>
        <family val="2"/>
      </rPr>
      <t>contribution fédérale effective 2</t>
    </r>
  </si>
  <si>
    <r>
      <t xml:space="preserve">n+1 
</t>
    </r>
    <r>
      <rPr>
        <sz val="12"/>
        <color theme="1"/>
        <rFont val="Arial Narrow"/>
        <family val="2"/>
      </rPr>
      <t>(1re année du PDR)</t>
    </r>
  </si>
  <si>
    <r>
      <t xml:space="preserve">INSTRUCTIONS 
* </t>
    </r>
    <r>
      <rPr>
        <sz val="12"/>
        <rFont val="Arial Narrow"/>
        <family val="2"/>
      </rPr>
      <t xml:space="preserve">Cette feuille Excel est une </t>
    </r>
    <r>
      <rPr>
        <b/>
        <sz val="12"/>
        <rFont val="Arial Narrow"/>
        <family val="2"/>
      </rPr>
      <t>suggestion / un exemple</t>
    </r>
    <r>
      <rPr>
        <sz val="12"/>
        <rFont val="Arial Narrow"/>
        <family val="2"/>
      </rPr>
      <t xml:space="preserve"> de présentation des hypothèses qui sous-tendent le compte des résultats. Vous pouvez changer complètement de format à condition que le calcul </t>
    </r>
    <r>
      <rPr>
        <sz val="12"/>
        <color rgb="FFFF0000"/>
        <rFont val="Arial Narrow"/>
        <family val="2"/>
      </rPr>
      <t xml:space="preserve">des chiffres du compte des résultats soit </t>
    </r>
    <r>
      <rPr>
        <sz val="12"/>
        <rFont val="Arial Narrow"/>
        <family val="2"/>
      </rPr>
      <t xml:space="preserve"> compréhensible et précis.</t>
    </r>
  </si>
  <si>
    <r>
      <t xml:space="preserve">Revenu </t>
    </r>
    <r>
      <rPr>
        <sz val="14"/>
        <rFont val="Arial Narrow"/>
        <family val="2"/>
      </rPr>
      <t>(des ventes, services, PDir, etc.)</t>
    </r>
  </si>
  <si>
    <r>
      <t xml:space="preserve">Charges directes </t>
    </r>
    <r>
      <rPr>
        <sz val="14"/>
        <rFont val="Arial Narrow"/>
        <family val="2"/>
      </rPr>
      <t>(charges pour la matériel, les marchandises, les prestations de tiers)</t>
    </r>
  </si>
  <si>
    <r>
      <t>EBITDA</t>
    </r>
    <r>
      <rPr>
        <i/>
        <sz val="14"/>
        <color theme="1"/>
        <rFont val="Arial Narrow"/>
        <family val="2"/>
      </rPr>
      <t xml:space="preserve"> (Résultat avant intérêts, impôts et amortissements)</t>
    </r>
  </si>
  <si>
    <r>
      <t xml:space="preserve">EBIT </t>
    </r>
    <r>
      <rPr>
        <i/>
        <sz val="14"/>
        <color theme="1"/>
        <rFont val="Arial Narrow"/>
        <family val="2"/>
      </rPr>
      <t>(Résultat avant intérêts et impôts)</t>
    </r>
  </si>
  <si>
    <r>
      <t xml:space="preserve">EBT </t>
    </r>
    <r>
      <rPr>
        <i/>
        <sz val="14"/>
        <color theme="1"/>
        <rFont val="Arial Narrow"/>
        <family val="2"/>
      </rPr>
      <t>(Résultat avant impôts)</t>
    </r>
  </si>
  <si>
    <t>Contribution communale</t>
  </si>
  <si>
    <t>afp tiers (aide montagne, fondations, etc.)</t>
  </si>
  <si>
    <t>Contribution cantonale effective</t>
  </si>
  <si>
    <t>Planification financière: Vue d'ensemble du projet partiel, étape de la documentation (ED)</t>
  </si>
  <si>
    <t>Moulins</t>
  </si>
  <si>
    <t>Vignes</t>
  </si>
  <si>
    <t>Grandes cultures (y.c. centres de collecte de céréales)</t>
  </si>
  <si>
    <t>Région de plaine : Transformation, stockage et commercialisation en commun de produits agricoles régionaux</t>
  </si>
  <si>
    <t>ZC / ZM I</t>
  </si>
  <si>
    <t>ZC: Transformation, stockage et commercialisation en commun de produits agricoles régionaux</t>
  </si>
  <si>
    <t>ZM: Transformation, stockage et commercialisation en commun de produits agricoles régionaux</t>
  </si>
  <si>
    <t>Création_et_développement_d’activités_dans_l’exploitation_agricole</t>
  </si>
  <si>
    <t>Agritourisme:Hébergement, restauration, évènements</t>
  </si>
  <si>
    <t>Transformation et stockage</t>
  </si>
  <si>
    <t xml:space="preserve">Vente </t>
  </si>
  <si>
    <t>Charges extraordinaires</t>
  </si>
  <si>
    <t>Revenu extraordinaire</t>
  </si>
  <si>
    <t>Contribution cantonale sans bonus PDR</t>
  </si>
  <si>
    <t>Bâtiments alpestres</t>
  </si>
  <si>
    <t>ZM II - IV, région d'estivage</t>
  </si>
  <si>
    <t>… veuillez sélectionner l’origine</t>
  </si>
  <si>
    <t>Région de montagne ou région d’estivage</t>
  </si>
  <si>
    <t>Collines</t>
  </si>
  <si>
    <t>Plaine</t>
  </si>
  <si>
    <t>Origine de matière première</t>
  </si>
  <si>
    <r>
      <t xml:space="preserve">Situation de l'exploitation </t>
    </r>
    <r>
      <rPr>
        <sz val="12"/>
        <color theme="1"/>
        <rFont val="Arial Narrow"/>
        <family val="2"/>
      </rPr>
      <t>= Origine de la matière première (art. 19f, al. 5)</t>
    </r>
  </si>
  <si>
    <t>% de la part de l’origine par rapport à la quantité totale transformée</t>
  </si>
  <si>
    <t>Type (PDR, construction de bâtiments)</t>
  </si>
  <si>
    <t>Origine de la matière première transformée regionale (art. 19, al. 6, OAS)</t>
  </si>
  <si>
    <t>Gesamter Betrieb</t>
  </si>
  <si>
    <t>Betriebszweig</t>
  </si>
  <si>
    <t>Produktion</t>
  </si>
  <si>
    <t>Verarbeitung und Vermarktung</t>
  </si>
  <si>
    <t>Aufbau und Weiterentwicklung Betriebszweig auf LW Betrieb &amp; Produktion</t>
  </si>
  <si>
    <t>EBITDA</t>
  </si>
  <si>
    <t xml:space="preserve"> </t>
  </si>
  <si>
    <t>Pain</t>
  </si>
  <si>
    <t>Sucre</t>
  </si>
  <si>
    <t>Lait</t>
  </si>
  <si>
    <t>Pourcentage en équivalents temps plein</t>
  </si>
  <si>
    <t>Facteur d'endettement</t>
  </si>
  <si>
    <t>% en décimales</t>
  </si>
  <si>
    <t>Mesures individuelles transformation petites entreprises artisanales</t>
  </si>
  <si>
    <t>EXEMPLE: Planification financière: Hypothèses du compte des résultats</t>
  </si>
  <si>
    <t>A) Aperçu du financement, y compris le calcul des contributions publiques</t>
  </si>
  <si>
    <r>
      <rPr>
        <b/>
        <sz val="12"/>
        <color theme="7" tint="-0.249977111117893"/>
        <rFont val="Arial Narrow"/>
        <family val="2"/>
      </rPr>
      <t>*Explications supplémentaires sur le type de PDR, orientation et type de projet:</t>
    </r>
    <r>
      <rPr>
        <sz val="12"/>
        <rFont val="Arial Narrow"/>
        <family val="2"/>
      </rPr>
      <t xml:space="preserve">
</t>
    </r>
    <r>
      <rPr>
        <b/>
        <sz val="12"/>
        <rFont val="Arial Narrow"/>
        <family val="2"/>
      </rPr>
      <t>Type de PDR</t>
    </r>
    <r>
      <rPr>
        <sz val="12"/>
        <rFont val="Arial Narrow"/>
        <family val="2"/>
      </rPr>
      <t xml:space="preserve">: soit orienté sur la chaîne de création de valeur ou intrasectoriel selon l'OAS
</t>
    </r>
    <r>
      <rPr>
        <b/>
        <sz val="12"/>
        <rFont val="Arial Narrow"/>
        <family val="2"/>
      </rPr>
      <t>Orientation et type de projet</t>
    </r>
    <r>
      <rPr>
        <sz val="12"/>
        <rFont val="Arial Narrow"/>
        <family val="2"/>
      </rPr>
      <t>: dans le cadre des projets PDR, on distingue 5 orientations différentes avec leurs types de projets ; c'est la base du traitement interne des données par l'OFAG. Un PDR doit avoir au moins 3 projets partiels d'orientation différente, la "direction du PDR" n'étant pas considérée comme un projet partiel à part entière.Les promoteurs des projets qui appartiennent exclusivement à une exploitation agricole en particulier doivent choisir l’orientation «Création et développement d’activités dans l’exploitation agricole». Tous les autres promoteurs de projets doivent choisir l’orientation et le type de projet correspondant le mieux possible à l’investissement, notamment à l’investissement public prévu. Lorsqu’un projet fait appel à des investissements dans plusieurs types de projet, il faut choisir le type qui générera le chiffre d’affaires le plus important.
1. Production: Fruits et légumes, culture des champs (y.c. centres de collecte de céréales), vin, lait, engraissement, alpage (lait, engraissement, étable), divers
2. Transformation: Transformation F&amp;L, moulins, vinification, lait, viande, alpage, divers
3. Commercialisation: Vente, logistique &amp; stockage, restauration, communication / marketing, divers
4. Création et développement d’activités dans l’exploitation agricole: Agritourisme (hébergement, restauration, évènements), transformation et stockage, vente directe, offres pédagogiques, énergies renouvelables, divers
5. Autres: Mise en valeur de la région, direction du PDR (ne compte pas comme un PP)</t>
    </r>
  </si>
  <si>
    <t>années</t>
  </si>
  <si>
    <t>B) Calcul de contribution selon la transformation, stockage et commercialisation en commun</t>
  </si>
  <si>
    <r>
      <t xml:space="preserve">- ce calcul doit être rempli UNIQUEMENT pour la transformation en commun
- </t>
    </r>
    <r>
      <rPr>
        <b/>
        <sz val="12"/>
        <rFont val="Arial Narrow"/>
        <family val="2"/>
      </rPr>
      <t>Concernant les mesures portant sur la transformation en commun</t>
    </r>
    <r>
      <rPr>
        <sz val="12"/>
        <rFont val="Arial Narrow"/>
        <family val="2"/>
      </rPr>
      <t xml:space="preserve"> : </t>
    </r>
    <r>
      <rPr>
        <sz val="12"/>
        <color rgb="FFFF0000"/>
        <rFont val="Arial Narrow"/>
        <family val="2"/>
      </rPr>
      <t xml:space="preserve"> </t>
    </r>
    <r>
      <rPr>
        <sz val="12"/>
        <rFont val="Arial Narrow"/>
        <family val="2"/>
      </rPr>
      <t xml:space="preserve">reprendre dans ce tableau B) les chiffres figurant dans les cellules de couleur bleue et les reporter dans le tableau A) Aperçu du financement, y compris le calcul des contributions publiques
- veuillez remplir 1 ligne par provenance de matière première 
</t>
    </r>
  </si>
  <si>
    <t xml:space="preserve">- pour les mesures de transformation, stockage et commercialisation collective : veuillez utiliser la section B) Calcul de contribution selon la transformation, stockage et commercialisation en commun et reporter ici les cellules colorées en bleu
- Les formulaires de calcul pour la construction de bâtiments peuvent être utilisés pour calculer les aides à l’investissement pour les mesures de construction de bâtiments : No. 41, 47, 73, (disponibles en ligne) --&gt; veuillez reporter la contribution cantonale dans la colonne" Contribution cantonale sans bonus PRE » et fournir le formulaire de calcul en annex
</t>
  </si>
  <si>
    <t>Unité d'observation : l'ensemble de l'exploitation ou uniquement la nouvelle branche d'exploitation</t>
  </si>
  <si>
    <r>
      <rPr>
        <sz val="12"/>
        <rFont val="Arial Narrow"/>
        <family val="2"/>
      </rPr>
      <t xml:space="preserve">* </t>
    </r>
    <r>
      <rPr>
        <b/>
        <sz val="12"/>
        <rFont val="Arial Narrow"/>
        <family val="2"/>
      </rPr>
      <t>Ouvrir entièrement la feuille Excel:</t>
    </r>
    <r>
      <rPr>
        <sz val="12"/>
        <rFont val="Arial Narrow"/>
        <family val="2"/>
      </rPr>
      <t xml:space="preserve"> en cliquant sur les signes "+" dans la marge grise à gauche du fichier Excel (à côté des titres des lignes/colonnes), vous pouvez ouvrir la feuille entière ou la refermer avec le signe "-"*
* Le "compte de résultats" doit être rempli alors que le calcul des contributions publiques est facultatif. La déduction du compte de résultats, c'est-à-dire les hypothèses qui se trouvent derrière les chiffres, peut être mentionnée dans la colonne "Explications" ou être déduite dans une feuille séparée "Hypothèses" (cette déduction détaillée n'est toutefois obligatoire qu'à l'étape de base, la feuille "Hypothèses" n'est qu'un exemple de la manière dont cette déduction pourrait se présenter). 
* Complétez les cases jaunes --&gt; à la ligne 8, remplacer les dénominations  (n, n+1, etc.) par les années effectives du PDR. Commencer par l'année avant la réalisation du PDR (Cellule C8). Faire ensuire de même pour les années suivantes (cellules D8 à J8).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</si>
</sst>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38" x14ac:knownFonts="1">
    <font>
      <sz val="11"/>
      <color theme="1"/>
      <name val="Arial"/>
      <family val="2"/>
    </font>
    <font>
      <sz val="11"/>
      <color theme="1"/>
      <name val="Arial"/>
      <family val="2"/>
    </font>
    <font>
      <sz val="11"/>
      <color theme="1"/>
      <name val="Arial Narrow"/>
      <family val="2"/>
    </font>
    <font>
      <sz val="10"/>
      <color theme="1"/>
      <name val="Arial Narrow"/>
      <family val="2"/>
    </font>
    <font>
      <b/>
      <sz val="11"/>
      <color theme="1"/>
      <name val="Arial Narrow"/>
      <family val="2"/>
    </font>
    <font>
      <b/>
      <sz val="10"/>
      <name val="Arial Narrow"/>
      <family val="2"/>
    </font>
    <font>
      <sz val="11"/>
      <color rgb="FF00B050"/>
      <name val="Arial Narrow"/>
      <family val="2"/>
    </font>
    <font>
      <sz val="10"/>
      <color rgb="FFFF0000"/>
      <name val="Arial Narrow"/>
      <family val="2"/>
    </font>
    <font>
      <sz val="11"/>
      <color rgb="FFFF0000"/>
      <name val="Arial Narrow"/>
      <family val="2"/>
    </font>
    <font>
      <sz val="10"/>
      <name val="Arial Narrow"/>
      <family val="2"/>
    </font>
    <font>
      <b/>
      <sz val="11"/>
      <name val="Arial Narrow"/>
      <family val="2"/>
    </font>
    <font>
      <sz val="11"/>
      <name val="Arial Narrow"/>
      <family val="2"/>
    </font>
    <font>
      <sz val="9"/>
      <color indexed="81"/>
      <name val="Segoe UI"/>
      <family val="2"/>
    </font>
    <font>
      <b/>
      <sz val="9"/>
      <color indexed="81"/>
      <name val="Segoe UI"/>
      <family val="2"/>
    </font>
    <font>
      <i/>
      <sz val="9"/>
      <name val="Arial Narrow"/>
      <family val="2"/>
    </font>
    <font>
      <b/>
      <sz val="12"/>
      <name val="Arial Narrow"/>
      <family val="2"/>
    </font>
    <font>
      <sz val="12"/>
      <name val="Arial Narrow"/>
      <family val="2"/>
    </font>
    <font>
      <sz val="12"/>
      <color rgb="FFFF0000"/>
      <name val="Arial Narrow"/>
      <family val="2"/>
    </font>
    <font>
      <b/>
      <sz val="12"/>
      <color theme="1"/>
      <name val="Arial Narrow"/>
      <family val="2"/>
    </font>
    <font>
      <sz val="12"/>
      <color theme="1"/>
      <name val="Arial Narrow"/>
      <family val="2"/>
    </font>
    <font>
      <sz val="11"/>
      <color theme="1"/>
      <name val="Frutiger 45"/>
      <family val="2"/>
    </font>
    <font>
      <b/>
      <sz val="16"/>
      <color theme="1"/>
      <name val="Arial Narrow"/>
      <family val="2"/>
    </font>
    <font>
      <sz val="16"/>
      <color theme="1"/>
      <name val="Arial Narrow"/>
      <family val="2"/>
    </font>
    <font>
      <sz val="12"/>
      <color rgb="FF7030A0"/>
      <name val="Arial Narrow"/>
      <family val="2"/>
    </font>
    <font>
      <sz val="9"/>
      <color theme="1"/>
      <name val="Arial Narrow"/>
      <family val="2"/>
    </font>
    <font>
      <sz val="12"/>
      <color theme="1"/>
      <name val="Arial Narrow"/>
      <family val="2"/>
    </font>
    <font>
      <b/>
      <sz val="16"/>
      <name val="Arial Narrow"/>
      <family val="2"/>
    </font>
    <font>
      <sz val="9"/>
      <color rgb="FF000000"/>
      <name val="Arial Narrow"/>
      <family val="2"/>
    </font>
    <font>
      <b/>
      <sz val="12"/>
      <color theme="7" tint="-0.249977111117893"/>
      <name val="Arial Narrow"/>
      <family val="2"/>
    </font>
    <font>
      <sz val="12"/>
      <color theme="1"/>
      <name val="Frutiger 45"/>
      <family val="2"/>
    </font>
    <font>
      <sz val="12"/>
      <color indexed="8"/>
      <name val="Arial Narrow"/>
      <family val="2"/>
    </font>
    <font>
      <b/>
      <sz val="14"/>
      <name val="Arial Narrow"/>
      <family val="2"/>
    </font>
    <font>
      <sz val="14"/>
      <name val="Arial Narrow"/>
      <family val="2"/>
    </font>
    <font>
      <sz val="14"/>
      <color theme="1"/>
      <name val="Arial Narrow"/>
      <family val="2"/>
    </font>
    <font>
      <b/>
      <i/>
      <sz val="14"/>
      <color theme="1"/>
      <name val="Arial Narrow"/>
      <family val="2"/>
    </font>
    <font>
      <i/>
      <sz val="14"/>
      <color theme="1"/>
      <name val="Arial Narrow"/>
      <family val="2"/>
    </font>
    <font>
      <b/>
      <sz val="14"/>
      <color theme="1"/>
      <name val="Arial Narrow"/>
      <family val="2"/>
    </font>
    <font>
      <b/>
      <sz val="11"/>
      <color theme="1"/>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5"/>
      </patternFill>
    </fill>
    <fill>
      <patternFill patternType="solid">
        <fgColor rgb="FFFFFFCC"/>
        <bgColor theme="9" tint="0.79998168889431442"/>
      </patternFill>
    </fill>
    <fill>
      <patternFill patternType="solid">
        <fgColor rgb="FFFFFF00"/>
        <bgColor indexed="64"/>
      </patternFill>
    </fill>
    <fill>
      <patternFill patternType="solid">
        <fgColor rgb="FFDDEBF7"/>
        <bgColor indexed="64"/>
      </patternFill>
    </fill>
    <fill>
      <patternFill patternType="solid">
        <fgColor theme="4" tint="0.59999389629810485"/>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bottom/>
      <diagonal/>
    </border>
    <border>
      <left/>
      <right style="dotted">
        <color indexed="64"/>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style="dotted">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
      <left style="dotted">
        <color indexed="64"/>
      </left>
      <right/>
      <top style="thin">
        <color indexed="64"/>
      </top>
      <bottom style="dotted">
        <color indexed="64"/>
      </bottom>
      <diagonal/>
    </border>
    <border>
      <left style="dotted">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auto="1"/>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diagonal/>
    </border>
    <border>
      <left style="medium">
        <color rgb="FFA3A3A3"/>
      </left>
      <right style="medium">
        <color rgb="FFA3A3A3"/>
      </right>
      <top style="medium">
        <color rgb="FFA3A3A3"/>
      </top>
      <bottom style="medium">
        <color rgb="FFA3A3A3"/>
      </bottom>
      <diagonal/>
    </border>
    <border>
      <left style="dotted">
        <color indexed="64"/>
      </left>
      <right/>
      <top style="dotted">
        <color indexed="64"/>
      </top>
      <bottom style="dotted">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ashed">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ck">
        <color theme="7" tint="0.79998168889431442"/>
      </left>
      <right/>
      <top style="thin">
        <color indexed="64"/>
      </top>
      <bottom/>
      <diagonal/>
    </border>
  </borders>
  <cellStyleXfs count="5">
    <xf numFmtId="0" fontId="0" fillId="0" borderId="0"/>
    <xf numFmtId="9" fontId="1" fillId="0" borderId="0" applyFont="0" applyFill="0" applyBorder="0" applyAlignment="0" applyProtection="0"/>
    <xf numFmtId="0" fontId="1" fillId="8" borderId="42" applyNumberFormat="0" applyFont="0" applyAlignment="0" applyProtection="0"/>
    <xf numFmtId="0" fontId="1" fillId="7" borderId="0" applyNumberFormat="0" applyBorder="0" applyAlignment="0" applyProtection="0"/>
    <xf numFmtId="0" fontId="20" fillId="0" borderId="0"/>
  </cellStyleXfs>
  <cellXfs count="541">
    <xf numFmtId="0" fontId="0" fillId="0" borderId="0" xfId="0"/>
    <xf numFmtId="0" fontId="2" fillId="0" borderId="0" xfId="0" applyFont="1" applyAlignment="1" applyProtection="1">
      <alignment vertical="top"/>
      <protection locked="0"/>
    </xf>
    <xf numFmtId="0" fontId="19" fillId="0" borderId="0" xfId="0" applyFont="1" applyAlignment="1" applyProtection="1">
      <alignment vertical="center"/>
      <protection locked="0"/>
    </xf>
    <xf numFmtId="0" fontId="2" fillId="0" borderId="0" xfId="0" applyFont="1" applyProtection="1">
      <protection locked="0"/>
    </xf>
    <xf numFmtId="0" fontId="19" fillId="0" borderId="0" xfId="0" applyFont="1" applyAlignment="1" applyProtection="1">
      <alignment vertical="top" wrapText="1"/>
      <protection locked="0"/>
    </xf>
    <xf numFmtId="0" fontId="10" fillId="0" borderId="0" xfId="0" applyFont="1" applyFill="1" applyAlignment="1" applyProtection="1">
      <alignment horizontal="left" vertical="center"/>
      <protection locked="0"/>
    </xf>
    <xf numFmtId="0" fontId="11" fillId="0" borderId="0" xfId="0" applyFont="1" applyFill="1" applyAlignment="1" applyProtection="1">
      <alignment vertical="center"/>
      <protection locked="0"/>
    </xf>
    <xf numFmtId="0" fontId="11" fillId="0" borderId="0" xfId="0" applyFont="1" applyProtection="1">
      <protection locked="0"/>
    </xf>
    <xf numFmtId="0" fontId="11" fillId="0" borderId="0" xfId="0" applyFont="1" applyBorder="1" applyProtection="1">
      <protection locked="0"/>
    </xf>
    <xf numFmtId="0" fontId="11" fillId="0" borderId="0" xfId="0" applyFont="1" applyAlignment="1" applyProtection="1">
      <alignment vertical="top"/>
      <protection locked="0"/>
    </xf>
    <xf numFmtId="0" fontId="3" fillId="0" borderId="0" xfId="0" applyFont="1" applyAlignment="1" applyProtection="1">
      <alignment horizontal="left" vertical="center" indent="1"/>
      <protection locked="0"/>
    </xf>
    <xf numFmtId="0" fontId="1" fillId="0" borderId="0" xfId="3" applyFill="1" applyAlignment="1" applyProtection="1">
      <alignment horizontal="left" vertical="center"/>
      <protection locked="0"/>
    </xf>
    <xf numFmtId="0" fontId="19" fillId="0" borderId="0" xfId="0" applyFont="1" applyProtection="1">
      <protection locked="0"/>
    </xf>
    <xf numFmtId="0" fontId="21" fillId="2" borderId="0" xfId="0" applyFont="1" applyFill="1" applyAlignment="1" applyProtection="1">
      <alignment vertical="top"/>
      <protection locked="0"/>
    </xf>
    <xf numFmtId="0" fontId="22" fillId="0" borderId="0" xfId="0" applyFont="1" applyAlignment="1" applyProtection="1">
      <alignment vertical="top"/>
      <protection locked="0"/>
    </xf>
    <xf numFmtId="0" fontId="19" fillId="0" borderId="0" xfId="0" applyFont="1" applyAlignment="1" applyProtection="1">
      <alignment vertical="top"/>
      <protection locked="0"/>
    </xf>
    <xf numFmtId="9" fontId="16" fillId="0" borderId="2" xfId="1" applyFont="1" applyBorder="1" applyAlignment="1" applyProtection="1">
      <alignment vertical="top"/>
      <protection locked="0"/>
    </xf>
    <xf numFmtId="9" fontId="19" fillId="0" borderId="0" xfId="1" applyFont="1" applyAlignment="1" applyProtection="1">
      <alignment vertical="top"/>
      <protection locked="0"/>
    </xf>
    <xf numFmtId="0" fontId="16" fillId="0" borderId="0" xfId="0" applyFont="1" applyProtection="1">
      <protection locked="0"/>
    </xf>
    <xf numFmtId="0" fontId="16" fillId="0" borderId="0" xfId="0" applyFont="1" applyAlignment="1">
      <alignment horizontal="left" vertical="top"/>
    </xf>
    <xf numFmtId="0" fontId="17" fillId="0" borderId="56" xfId="0" applyFont="1" applyBorder="1" applyAlignment="1">
      <alignment horizontal="left" vertical="top" wrapText="1"/>
    </xf>
    <xf numFmtId="9" fontId="19" fillId="0" borderId="0" xfId="1" applyFont="1" applyAlignment="1">
      <alignment horizontal="left" vertical="top"/>
    </xf>
    <xf numFmtId="9" fontId="16" fillId="0" borderId="0" xfId="0" applyNumberFormat="1" applyFont="1" applyAlignment="1">
      <alignment horizontal="left" vertical="top"/>
    </xf>
    <xf numFmtId="9" fontId="19" fillId="0" borderId="6" xfId="1" applyFont="1" applyBorder="1" applyAlignment="1">
      <alignment horizontal="left" vertical="top"/>
    </xf>
    <xf numFmtId="0" fontId="16" fillId="0" borderId="6" xfId="0" applyFont="1" applyBorder="1" applyAlignment="1">
      <alignment horizontal="left" vertical="top"/>
    </xf>
    <xf numFmtId="9" fontId="16" fillId="0" borderId="0" xfId="1" applyFont="1" applyAlignment="1">
      <alignment horizontal="left" vertical="top"/>
    </xf>
    <xf numFmtId="0" fontId="16" fillId="0" borderId="0" xfId="0" applyFont="1" applyAlignment="1">
      <alignment vertical="top"/>
    </xf>
    <xf numFmtId="0" fontId="15" fillId="0" borderId="1" xfId="0" applyFont="1" applyBorder="1" applyAlignment="1">
      <alignment vertical="top"/>
    </xf>
    <xf numFmtId="0" fontId="16" fillId="0" borderId="6" xfId="0" applyFont="1" applyBorder="1" applyAlignment="1">
      <alignment vertical="top"/>
    </xf>
    <xf numFmtId="0" fontId="15" fillId="3" borderId="4" xfId="0" applyFont="1" applyFill="1" applyBorder="1" applyAlignment="1">
      <alignment vertical="top"/>
    </xf>
    <xf numFmtId="0" fontId="15" fillId="3" borderId="9" xfId="0" applyFont="1" applyFill="1" applyBorder="1" applyAlignment="1">
      <alignment vertical="top"/>
    </xf>
    <xf numFmtId="0" fontId="16" fillId="0" borderId="7" xfId="0" applyFont="1" applyBorder="1" applyAlignment="1">
      <alignment vertical="top"/>
    </xf>
    <xf numFmtId="0" fontId="15" fillId="0" borderId="1" xfId="0" applyFont="1" applyBorder="1" applyAlignment="1">
      <alignment vertical="top" wrapText="1"/>
    </xf>
    <xf numFmtId="0" fontId="15" fillId="0" borderId="7" xfId="0" applyFont="1" applyBorder="1" applyAlignment="1">
      <alignment vertical="top"/>
    </xf>
    <xf numFmtId="0" fontId="15" fillId="0" borderId="6" xfId="0" applyFont="1" applyBorder="1" applyAlignment="1">
      <alignment vertical="top"/>
    </xf>
    <xf numFmtId="0" fontId="15" fillId="3" borderId="32" xfId="0" applyFont="1" applyFill="1" applyBorder="1" applyAlignment="1">
      <alignment vertical="top" wrapText="1"/>
    </xf>
    <xf numFmtId="0" fontId="15" fillId="0" borderId="56" xfId="0" applyFont="1" applyBorder="1" applyAlignment="1">
      <alignment vertical="top" wrapText="1"/>
    </xf>
    <xf numFmtId="0" fontId="15" fillId="0" borderId="2" xfId="0" applyFont="1" applyBorder="1" applyAlignment="1">
      <alignment vertical="top" wrapText="1"/>
    </xf>
    <xf numFmtId="0" fontId="15" fillId="0" borderId="9" xfId="0" applyFont="1" applyFill="1" applyBorder="1" applyAlignment="1">
      <alignment vertical="top" wrapText="1"/>
    </xf>
    <xf numFmtId="0" fontId="15" fillId="0" borderId="4" xfId="0" applyFont="1" applyBorder="1" applyAlignment="1">
      <alignment vertical="top"/>
    </xf>
    <xf numFmtId="0" fontId="16" fillId="0" borderId="56" xfId="0" applyFont="1" applyFill="1" applyBorder="1" applyAlignment="1">
      <alignment vertical="top" wrapText="1"/>
    </xf>
    <xf numFmtId="0" fontId="15" fillId="0" borderId="0" xfId="0" applyFont="1" applyBorder="1" applyAlignment="1">
      <alignment vertical="top" wrapText="1"/>
    </xf>
    <xf numFmtId="0" fontId="15" fillId="0" borderId="6" xfId="0" applyFont="1" applyFill="1" applyBorder="1" applyAlignment="1">
      <alignment vertical="top" wrapText="1"/>
    </xf>
    <xf numFmtId="0" fontId="15" fillId="0" borderId="0" xfId="0" applyFont="1" applyBorder="1" applyAlignment="1">
      <alignment vertical="top"/>
    </xf>
    <xf numFmtId="0" fontId="15" fillId="0" borderId="0" xfId="0" applyFont="1" applyFill="1" applyBorder="1" applyAlignment="1">
      <alignment vertical="top" wrapText="1"/>
    </xf>
    <xf numFmtId="0" fontId="16" fillId="0" borderId="56" xfId="0" applyFont="1" applyBorder="1" applyAlignment="1">
      <alignment horizontal="left" vertical="top" wrapText="1"/>
    </xf>
    <xf numFmtId="0" fontId="16" fillId="0" borderId="6" xfId="0" applyFont="1" applyBorder="1" applyAlignment="1">
      <alignment horizontal="left" vertical="top" wrapText="1"/>
    </xf>
    <xf numFmtId="9" fontId="16" fillId="9" borderId="0" xfId="1" applyFont="1" applyFill="1" applyAlignment="1">
      <alignment horizontal="left" vertical="top"/>
    </xf>
    <xf numFmtId="9" fontId="19" fillId="9" borderId="0" xfId="1" applyFont="1" applyFill="1" applyAlignment="1">
      <alignment horizontal="left" vertical="top"/>
    </xf>
    <xf numFmtId="0" fontId="19" fillId="0" borderId="0" xfId="0" applyFont="1"/>
    <xf numFmtId="0" fontId="23" fillId="0" borderId="56" xfId="0" applyFont="1" applyBorder="1" applyAlignment="1">
      <alignment horizontal="left" vertical="top" wrapText="1"/>
    </xf>
    <xf numFmtId="0" fontId="23" fillId="0" borderId="0" xfId="0" applyFont="1" applyBorder="1" applyAlignment="1">
      <alignment horizontal="left" vertical="top" wrapText="1"/>
    </xf>
    <xf numFmtId="0" fontId="16" fillId="0" borderId="6" xfId="0" applyFont="1" applyBorder="1" applyAlignment="1">
      <alignment vertical="top" wrapText="1"/>
    </xf>
    <xf numFmtId="0" fontId="15" fillId="3" borderId="45" xfId="0" applyFont="1" applyFill="1" applyBorder="1" applyAlignment="1">
      <alignment vertical="top" wrapText="1"/>
    </xf>
    <xf numFmtId="0" fontId="16" fillId="0" borderId="45" xfId="0" applyFont="1" applyBorder="1" applyAlignment="1">
      <alignment vertical="top" wrapText="1"/>
    </xf>
    <xf numFmtId="9" fontId="16" fillId="0" borderId="45" xfId="1" applyFont="1" applyBorder="1" applyAlignment="1">
      <alignment vertical="top" wrapText="1"/>
    </xf>
    <xf numFmtId="0" fontId="15" fillId="3" borderId="1" xfId="0" applyFont="1" applyFill="1" applyBorder="1" applyAlignment="1">
      <alignment vertical="top" wrapText="1"/>
    </xf>
    <xf numFmtId="0" fontId="19" fillId="0" borderId="2" xfId="0" applyFont="1" applyBorder="1" applyAlignment="1">
      <alignment vertical="center" wrapText="1"/>
    </xf>
    <xf numFmtId="0" fontId="19" fillId="0" borderId="4" xfId="0" applyFont="1" applyBorder="1" applyAlignment="1">
      <alignment vertical="center" wrapText="1"/>
    </xf>
    <xf numFmtId="0" fontId="19" fillId="0" borderId="45" xfId="0" applyFont="1" applyBorder="1" applyAlignment="1">
      <alignment vertical="center" wrapText="1"/>
    </xf>
    <xf numFmtId="0" fontId="15" fillId="0" borderId="0" xfId="0" applyFont="1" applyAlignment="1">
      <alignment vertical="top"/>
    </xf>
    <xf numFmtId="3" fontId="19" fillId="0" borderId="54" xfId="0" applyNumberFormat="1" applyFont="1" applyFill="1" applyBorder="1" applyAlignment="1">
      <alignment vertical="top"/>
    </xf>
    <xf numFmtId="3" fontId="19" fillId="0" borderId="44" xfId="0" applyNumberFormat="1" applyFont="1" applyFill="1" applyBorder="1"/>
    <xf numFmtId="3" fontId="19" fillId="0" borderId="54" xfId="0" applyNumberFormat="1" applyFont="1" applyFill="1" applyBorder="1"/>
    <xf numFmtId="0" fontId="19" fillId="3" borderId="2" xfId="0" applyFont="1" applyFill="1" applyBorder="1" applyAlignment="1">
      <alignment vertical="center" wrapText="1"/>
    </xf>
    <xf numFmtId="166" fontId="16" fillId="0" borderId="0" xfId="0" applyNumberFormat="1" applyFont="1" applyAlignment="1">
      <alignment horizontal="left" vertical="top"/>
    </xf>
    <xf numFmtId="0" fontId="19" fillId="0" borderId="0" xfId="0" applyFont="1" applyBorder="1" applyAlignment="1">
      <alignment vertical="center" wrapText="1"/>
    </xf>
    <xf numFmtId="0" fontId="25" fillId="0" borderId="4" xfId="0" applyFont="1" applyBorder="1" applyAlignment="1">
      <alignment vertical="center" wrapText="1"/>
    </xf>
    <xf numFmtId="0" fontId="17" fillId="0" borderId="0" xfId="0" applyFont="1" applyBorder="1" applyAlignment="1">
      <alignment horizontal="left" vertical="top" wrapText="1"/>
    </xf>
    <xf numFmtId="0" fontId="11" fillId="3" borderId="0" xfId="0" applyFont="1" applyFill="1" applyAlignment="1" applyProtection="1">
      <alignment vertical="center"/>
      <protection locked="0"/>
    </xf>
    <xf numFmtId="0" fontId="11" fillId="0" borderId="0" xfId="0" applyFont="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9" fillId="3" borderId="1" xfId="0"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1" fillId="0" borderId="1" xfId="3" applyFill="1" applyBorder="1" applyAlignment="1" applyProtection="1">
      <alignment horizontal="left" vertical="center"/>
      <protection locked="0"/>
    </xf>
    <xf numFmtId="0" fontId="6" fillId="0" borderId="0" xfId="0" applyFont="1" applyProtection="1">
      <protection locked="0"/>
    </xf>
    <xf numFmtId="0" fontId="11" fillId="0" borderId="49" xfId="0" applyFont="1" applyBorder="1" applyAlignment="1" applyProtection="1">
      <alignment vertical="top"/>
      <protection locked="0"/>
    </xf>
    <xf numFmtId="0" fontId="11" fillId="0" borderId="49" xfId="0" applyFont="1" applyBorder="1" applyProtection="1">
      <protection locked="0"/>
    </xf>
    <xf numFmtId="0" fontId="11" fillId="0" borderId="50" xfId="0" applyFont="1" applyBorder="1" applyProtection="1">
      <protection locked="0"/>
    </xf>
    <xf numFmtId="0" fontId="3" fillId="0" borderId="0" xfId="0" applyFont="1" applyBorder="1" applyAlignment="1" applyProtection="1">
      <alignment vertical="top"/>
      <protection locked="0"/>
    </xf>
    <xf numFmtId="0" fontId="15" fillId="2" borderId="1"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0"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center" vertical="center"/>
      <protection locked="0"/>
    </xf>
    <xf numFmtId="0" fontId="11" fillId="0" borderId="0" xfId="0" applyFont="1" applyAlignment="1" applyProtection="1">
      <alignment vertical="center"/>
      <protection locked="0"/>
    </xf>
    <xf numFmtId="0" fontId="5" fillId="5" borderId="2" xfId="0" applyFont="1" applyFill="1" applyBorder="1" applyAlignment="1" applyProtection="1">
      <alignment vertical="top"/>
      <protection locked="0"/>
    </xf>
    <xf numFmtId="0" fontId="9" fillId="5" borderId="2" xfId="0" applyFont="1" applyFill="1" applyBorder="1" applyAlignment="1" applyProtection="1">
      <alignment vertical="top" wrapText="1"/>
      <protection locked="0"/>
    </xf>
    <xf numFmtId="0" fontId="5" fillId="5" borderId="2" xfId="0" applyFont="1" applyFill="1" applyBorder="1" applyAlignment="1" applyProtection="1">
      <alignment vertical="top" wrapText="1"/>
      <protection locked="0"/>
    </xf>
    <xf numFmtId="0" fontId="5" fillId="0" borderId="20" xfId="0" applyFont="1" applyBorder="1" applyAlignment="1" applyProtection="1">
      <alignment vertical="top"/>
      <protection locked="0"/>
    </xf>
    <xf numFmtId="0" fontId="5" fillId="0" borderId="39" xfId="0" applyFont="1" applyBorder="1" applyAlignment="1" applyProtection="1">
      <alignment vertical="top"/>
      <protection locked="0"/>
    </xf>
    <xf numFmtId="0" fontId="5" fillId="0" borderId="12" xfId="0" applyFont="1" applyBorder="1" applyAlignment="1" applyProtection="1">
      <alignment vertical="top" wrapText="1"/>
      <protection locked="0"/>
    </xf>
    <xf numFmtId="0" fontId="4" fillId="0" borderId="45" xfId="0" applyFont="1" applyBorder="1" applyAlignment="1" applyProtection="1">
      <alignment vertical="top"/>
      <protection locked="0"/>
    </xf>
    <xf numFmtId="0" fontId="5" fillId="0" borderId="31" xfId="0" applyFont="1" applyBorder="1" applyAlignment="1" applyProtection="1">
      <alignment horizontal="left" vertical="top"/>
      <protection locked="0"/>
    </xf>
    <xf numFmtId="0" fontId="5" fillId="0" borderId="2" xfId="0" applyFont="1" applyBorder="1" applyAlignment="1" applyProtection="1">
      <alignment horizontal="left" vertical="center" wrapText="1"/>
      <protection locked="0"/>
    </xf>
    <xf numFmtId="0" fontId="9" fillId="0" borderId="0" xfId="0" applyFont="1" applyAlignment="1" applyProtection="1">
      <alignment vertical="top"/>
      <protection locked="0"/>
    </xf>
    <xf numFmtId="0" fontId="5" fillId="0" borderId="13" xfId="0" applyFont="1" applyBorder="1" applyProtection="1">
      <protection locked="0"/>
    </xf>
    <xf numFmtId="0" fontId="9" fillId="0" borderId="40" xfId="0" applyFont="1" applyBorder="1" applyProtection="1">
      <protection locked="0"/>
    </xf>
    <xf numFmtId="0" fontId="9" fillId="0" borderId="13" xfId="0" applyFont="1" applyBorder="1" applyProtection="1">
      <protection locked="0"/>
    </xf>
    <xf numFmtId="0" fontId="9" fillId="0" borderId="17" xfId="0" applyFont="1" applyBorder="1" applyProtection="1">
      <protection locked="0"/>
    </xf>
    <xf numFmtId="0" fontId="9" fillId="0" borderId="51" xfId="0" applyFont="1" applyBorder="1" applyProtection="1">
      <protection locked="0"/>
    </xf>
    <xf numFmtId="0" fontId="11" fillId="0" borderId="54" xfId="0" applyFont="1" applyBorder="1" applyProtection="1">
      <protection locked="0"/>
    </xf>
    <xf numFmtId="0" fontId="11" fillId="0" borderId="33" xfId="0" applyFont="1" applyBorder="1" applyProtection="1">
      <protection locked="0"/>
    </xf>
    <xf numFmtId="0" fontId="9" fillId="0" borderId="10" xfId="0" applyFont="1" applyBorder="1" applyProtection="1">
      <protection locked="0"/>
    </xf>
    <xf numFmtId="0" fontId="9" fillId="0" borderId="25" xfId="0" applyFont="1" applyBorder="1" applyProtection="1">
      <protection locked="0"/>
    </xf>
    <xf numFmtId="3" fontId="9" fillId="3" borderId="10" xfId="0" applyNumberFormat="1" applyFont="1" applyFill="1" applyBorder="1" applyProtection="1">
      <protection locked="0"/>
    </xf>
    <xf numFmtId="3" fontId="9" fillId="0" borderId="18" xfId="0" applyNumberFormat="1" applyFont="1" applyFill="1" applyBorder="1" applyProtection="1">
      <protection locked="0"/>
    </xf>
    <xf numFmtId="3" fontId="9" fillId="0" borderId="25" xfId="0" applyNumberFormat="1" applyFont="1" applyFill="1" applyBorder="1" applyProtection="1">
      <protection locked="0"/>
    </xf>
    <xf numFmtId="3" fontId="9" fillId="0" borderId="43" xfId="0" applyNumberFormat="1" applyFont="1" applyFill="1" applyBorder="1" applyProtection="1">
      <protection locked="0"/>
    </xf>
    <xf numFmtId="0" fontId="14" fillId="0" borderId="10" xfId="0" applyFont="1" applyBorder="1" applyProtection="1">
      <protection locked="0"/>
    </xf>
    <xf numFmtId="0" fontId="14" fillId="0" borderId="25" xfId="0" applyFont="1" applyBorder="1" applyProtection="1">
      <protection locked="0"/>
    </xf>
    <xf numFmtId="9" fontId="14" fillId="3" borderId="10" xfId="0" applyNumberFormat="1" applyFont="1" applyFill="1" applyBorder="1" applyProtection="1">
      <protection locked="0"/>
    </xf>
    <xf numFmtId="9" fontId="14" fillId="3" borderId="18" xfId="0" applyNumberFormat="1" applyFont="1" applyFill="1" applyBorder="1" applyProtection="1">
      <protection locked="0"/>
    </xf>
    <xf numFmtId="9" fontId="14" fillId="0" borderId="54" xfId="0" applyNumberFormat="1" applyFont="1" applyFill="1" applyBorder="1" applyProtection="1">
      <protection locked="0"/>
    </xf>
    <xf numFmtId="0" fontId="14" fillId="3" borderId="33" xfId="0" applyFont="1" applyFill="1" applyBorder="1" applyProtection="1">
      <protection locked="0"/>
    </xf>
    <xf numFmtId="0" fontId="14" fillId="3" borderId="0" xfId="0" applyFont="1" applyFill="1" applyBorder="1" applyProtection="1">
      <protection locked="0"/>
    </xf>
    <xf numFmtId="0" fontId="14" fillId="3" borderId="10" xfId="0" applyFont="1" applyFill="1" applyBorder="1" applyProtection="1">
      <protection locked="0"/>
    </xf>
    <xf numFmtId="0" fontId="14" fillId="3" borderId="18" xfId="0" applyFont="1" applyFill="1" applyBorder="1" applyProtection="1">
      <protection locked="0"/>
    </xf>
    <xf numFmtId="0" fontId="14" fillId="0" borderId="54" xfId="0" applyFont="1" applyFill="1" applyBorder="1" applyProtection="1">
      <protection locked="0"/>
    </xf>
    <xf numFmtId="3" fontId="9" fillId="3" borderId="18" xfId="0" applyNumberFormat="1" applyFont="1" applyFill="1" applyBorder="1" applyProtection="1">
      <protection locked="0"/>
    </xf>
    <xf numFmtId="3" fontId="9" fillId="0" borderId="54" xfId="0" applyNumberFormat="1" applyFont="1" applyFill="1" applyBorder="1" applyProtection="1">
      <protection locked="0"/>
    </xf>
    <xf numFmtId="0" fontId="9" fillId="3" borderId="33" xfId="0" applyFont="1" applyFill="1" applyBorder="1" applyProtection="1">
      <protection locked="0"/>
    </xf>
    <xf numFmtId="0" fontId="9" fillId="3" borderId="0" xfId="0" applyFont="1" applyFill="1" applyBorder="1" applyProtection="1">
      <protection locked="0"/>
    </xf>
    <xf numFmtId="0" fontId="9" fillId="0" borderId="10" xfId="0" applyFont="1" applyFill="1" applyBorder="1" applyProtection="1">
      <protection locked="0"/>
    </xf>
    <xf numFmtId="0" fontId="9" fillId="0" borderId="18" xfId="0" applyFont="1" applyFill="1" applyBorder="1" applyProtection="1">
      <protection locked="0"/>
    </xf>
    <xf numFmtId="0" fontId="9" fillId="0" borderId="25" xfId="0" applyFont="1" applyFill="1" applyBorder="1" applyProtection="1">
      <protection locked="0"/>
    </xf>
    <xf numFmtId="0" fontId="9" fillId="0" borderId="54" xfId="0" applyFont="1" applyFill="1" applyBorder="1" applyProtection="1">
      <protection locked="0"/>
    </xf>
    <xf numFmtId="0" fontId="9" fillId="0" borderId="33" xfId="0" applyFont="1" applyFill="1" applyBorder="1" applyProtection="1">
      <protection locked="0"/>
    </xf>
    <xf numFmtId="0" fontId="5" fillId="0" borderId="14" xfId="0" applyFont="1" applyBorder="1" applyProtection="1">
      <protection locked="0"/>
    </xf>
    <xf numFmtId="0" fontId="9" fillId="0" borderId="36" xfId="0" applyFont="1" applyBorder="1" applyProtection="1">
      <protection locked="0"/>
    </xf>
    <xf numFmtId="0" fontId="9" fillId="0" borderId="14" xfId="0" applyFont="1" applyFill="1" applyBorder="1" applyProtection="1">
      <protection locked="0"/>
    </xf>
    <xf numFmtId="0" fontId="9" fillId="0" borderId="19" xfId="0" applyFont="1" applyFill="1" applyBorder="1" applyProtection="1">
      <protection locked="0"/>
    </xf>
    <xf numFmtId="0" fontId="9" fillId="0" borderId="36" xfId="0" applyFont="1" applyFill="1" applyBorder="1" applyProtection="1">
      <protection locked="0"/>
    </xf>
    <xf numFmtId="0" fontId="9" fillId="0" borderId="55" xfId="0" applyFont="1" applyFill="1" applyBorder="1" applyProtection="1">
      <protection locked="0"/>
    </xf>
    <xf numFmtId="4" fontId="9" fillId="3" borderId="10" xfId="0" applyNumberFormat="1" applyFont="1" applyFill="1" applyBorder="1" applyProtection="1">
      <protection locked="0"/>
    </xf>
    <xf numFmtId="4" fontId="9" fillId="3" borderId="18" xfId="0" applyNumberFormat="1" applyFont="1" applyFill="1" applyBorder="1" applyProtection="1">
      <protection locked="0"/>
    </xf>
    <xf numFmtId="4" fontId="9" fillId="3" borderId="25" xfId="0" applyNumberFormat="1" applyFont="1" applyFill="1" applyBorder="1" applyProtection="1">
      <protection locked="0"/>
    </xf>
    <xf numFmtId="4" fontId="9" fillId="0" borderId="54" xfId="0" applyNumberFormat="1" applyFont="1" applyFill="1" applyBorder="1" applyProtection="1">
      <protection locked="0"/>
    </xf>
    <xf numFmtId="4" fontId="9" fillId="6" borderId="18" xfId="0" applyNumberFormat="1" applyFont="1" applyFill="1" applyBorder="1" applyProtection="1">
      <protection locked="0"/>
    </xf>
    <xf numFmtId="4" fontId="9" fillId="6" borderId="25" xfId="0" applyNumberFormat="1" applyFont="1" applyFill="1" applyBorder="1" applyProtection="1">
      <protection locked="0"/>
    </xf>
    <xf numFmtId="9" fontId="14" fillId="3" borderId="18" xfId="0" quotePrefix="1" applyNumberFormat="1" applyFont="1" applyFill="1" applyBorder="1" applyProtection="1">
      <protection locked="0"/>
    </xf>
    <xf numFmtId="9" fontId="14" fillId="3" borderId="25" xfId="0" quotePrefix="1" applyNumberFormat="1" applyFont="1" applyFill="1" applyBorder="1" applyProtection="1">
      <protection locked="0"/>
    </xf>
    <xf numFmtId="2" fontId="9" fillId="0" borderId="10" xfId="0" applyNumberFormat="1" applyFont="1" applyFill="1" applyBorder="1" applyProtection="1">
      <protection locked="0"/>
    </xf>
    <xf numFmtId="2" fontId="9" fillId="0" borderId="18" xfId="0" applyNumberFormat="1" applyFont="1" applyFill="1" applyBorder="1" applyProtection="1">
      <protection locked="0"/>
    </xf>
    <xf numFmtId="2" fontId="9" fillId="0" borderId="25" xfId="0" applyNumberFormat="1" applyFont="1" applyFill="1" applyBorder="1" applyProtection="1">
      <protection locked="0"/>
    </xf>
    <xf numFmtId="0" fontId="5" fillId="0" borderId="10" xfId="0" applyFont="1" applyBorder="1" applyProtection="1">
      <protection locked="0"/>
    </xf>
    <xf numFmtId="2" fontId="9" fillId="3" borderId="10" xfId="0" applyNumberFormat="1" applyFont="1" applyFill="1" applyBorder="1" applyProtection="1">
      <protection locked="0"/>
    </xf>
    <xf numFmtId="2" fontId="9" fillId="3" borderId="18" xfId="0" applyNumberFormat="1" applyFont="1" applyFill="1" applyBorder="1" applyProtection="1">
      <protection locked="0"/>
    </xf>
    <xf numFmtId="2" fontId="9" fillId="3" borderId="25" xfId="0" applyNumberFormat="1" applyFont="1" applyFill="1" applyBorder="1" applyProtection="1">
      <protection locked="0"/>
    </xf>
    <xf numFmtId="9" fontId="9" fillId="3" borderId="10" xfId="0" applyNumberFormat="1" applyFont="1" applyFill="1" applyBorder="1" applyProtection="1">
      <protection locked="0"/>
    </xf>
    <xf numFmtId="9" fontId="9" fillId="3" borderId="18" xfId="0" applyNumberFormat="1" applyFont="1" applyFill="1" applyBorder="1" applyProtection="1">
      <protection locked="0"/>
    </xf>
    <xf numFmtId="9" fontId="9" fillId="3" borderId="25" xfId="0" applyNumberFormat="1" applyFont="1" applyFill="1" applyBorder="1" applyProtection="1">
      <protection locked="0"/>
    </xf>
    <xf numFmtId="0" fontId="5" fillId="0" borderId="12" xfId="0" applyFont="1" applyBorder="1" applyAlignment="1" applyProtection="1">
      <alignment horizontal="left" vertical="top"/>
      <protection locked="0"/>
    </xf>
    <xf numFmtId="0" fontId="9" fillId="0" borderId="39" xfId="0" applyFont="1" applyBorder="1" applyAlignment="1" applyProtection="1">
      <alignment vertical="top"/>
      <protection locked="0"/>
    </xf>
    <xf numFmtId="3" fontId="9" fillId="3" borderId="12" xfId="0" applyNumberFormat="1" applyFont="1" applyFill="1" applyBorder="1" applyAlignment="1" applyProtection="1">
      <alignment vertical="top"/>
      <protection locked="0"/>
    </xf>
    <xf numFmtId="3" fontId="9" fillId="3" borderId="16" xfId="0" applyNumberFormat="1" applyFont="1" applyFill="1" applyBorder="1" applyAlignment="1" applyProtection="1">
      <alignment vertical="top"/>
      <protection locked="0"/>
    </xf>
    <xf numFmtId="3" fontId="9" fillId="3" borderId="39" xfId="0" applyNumberFormat="1" applyFont="1" applyFill="1" applyBorder="1" applyAlignment="1" applyProtection="1">
      <alignment vertical="top"/>
      <protection locked="0"/>
    </xf>
    <xf numFmtId="3" fontId="9" fillId="0" borderId="45" xfId="0" applyNumberFormat="1" applyFont="1" applyFill="1" applyBorder="1" applyAlignment="1" applyProtection="1">
      <alignment vertical="top"/>
      <protection locked="0"/>
    </xf>
    <xf numFmtId="0" fontId="7" fillId="0" borderId="41" xfId="0" applyFont="1" applyBorder="1" applyAlignment="1" applyProtection="1">
      <alignment vertical="top"/>
      <protection locked="0"/>
    </xf>
    <xf numFmtId="0" fontId="5" fillId="0" borderId="10" xfId="0" applyFont="1" applyBorder="1" applyAlignment="1" applyProtection="1">
      <alignment vertical="top"/>
      <protection locked="0"/>
    </xf>
    <xf numFmtId="0" fontId="9" fillId="0" borderId="25" xfId="0" applyFont="1" applyBorder="1" applyAlignment="1" applyProtection="1">
      <alignment vertical="top"/>
      <protection locked="0"/>
    </xf>
    <xf numFmtId="3" fontId="9" fillId="3" borderId="10" xfId="0" applyNumberFormat="1" applyFont="1" applyFill="1" applyBorder="1" applyAlignment="1" applyProtection="1">
      <alignment vertical="top"/>
      <protection locked="0"/>
    </xf>
    <xf numFmtId="3" fontId="9" fillId="3" borderId="18" xfId="0" applyNumberFormat="1" applyFont="1" applyFill="1" applyBorder="1" applyAlignment="1" applyProtection="1">
      <alignment vertical="top"/>
      <protection locked="0"/>
    </xf>
    <xf numFmtId="3" fontId="9" fillId="3" borderId="25" xfId="0" applyNumberFormat="1" applyFont="1" applyFill="1" applyBorder="1" applyAlignment="1" applyProtection="1">
      <alignment vertical="top"/>
      <protection locked="0"/>
    </xf>
    <xf numFmtId="0" fontId="5" fillId="0" borderId="11" xfId="0" applyFont="1" applyBorder="1" applyAlignment="1" applyProtection="1">
      <alignment vertical="top"/>
      <protection locked="0"/>
    </xf>
    <xf numFmtId="0" fontId="9" fillId="0" borderId="27" xfId="0" applyFont="1" applyBorder="1" applyAlignment="1" applyProtection="1">
      <alignment vertical="top"/>
      <protection locked="0"/>
    </xf>
    <xf numFmtId="3" fontId="5" fillId="0" borderId="11" xfId="0" applyNumberFormat="1" applyFont="1" applyFill="1" applyBorder="1" applyAlignment="1" applyProtection="1">
      <alignment vertical="top"/>
      <protection locked="0"/>
    </xf>
    <xf numFmtId="3" fontId="5" fillId="0" borderId="15" xfId="0" applyNumberFormat="1" applyFont="1" applyFill="1" applyBorder="1" applyAlignment="1" applyProtection="1">
      <alignment vertical="top"/>
      <protection locked="0"/>
    </xf>
    <xf numFmtId="3" fontId="5" fillId="0" borderId="27" xfId="0" applyNumberFormat="1" applyFont="1" applyFill="1" applyBorder="1" applyAlignment="1" applyProtection="1">
      <alignment vertical="top"/>
      <protection locked="0"/>
    </xf>
    <xf numFmtId="3" fontId="5" fillId="0" borderId="53" xfId="0" applyNumberFormat="1" applyFont="1" applyFill="1" applyBorder="1" applyAlignment="1" applyProtection="1">
      <alignment vertical="top"/>
      <protection locked="0"/>
    </xf>
    <xf numFmtId="0" fontId="5" fillId="0" borderId="0" xfId="0" applyFont="1" applyBorder="1" applyAlignment="1" applyProtection="1">
      <alignment vertical="top"/>
      <protection locked="0"/>
    </xf>
    <xf numFmtId="0" fontId="9" fillId="0" borderId="0" xfId="0" applyFont="1" applyBorder="1" applyAlignment="1" applyProtection="1">
      <alignment vertical="top"/>
      <protection locked="0"/>
    </xf>
    <xf numFmtId="3" fontId="9" fillId="0" borderId="0" xfId="0" applyNumberFormat="1" applyFont="1" applyFill="1" applyBorder="1" applyAlignment="1" applyProtection="1">
      <alignment vertical="top"/>
      <protection locked="0"/>
    </xf>
    <xf numFmtId="0" fontId="11" fillId="0" borderId="44" xfId="0" applyFont="1" applyBorder="1" applyProtection="1">
      <protection locked="0"/>
    </xf>
    <xf numFmtId="3" fontId="9" fillId="0" borderId="33" xfId="0" applyNumberFormat="1" applyFont="1" applyFill="1" applyBorder="1" applyProtection="1">
      <protection locked="0"/>
    </xf>
    <xf numFmtId="9" fontId="14" fillId="3" borderId="33" xfId="0" applyNumberFormat="1" applyFont="1" applyFill="1" applyBorder="1" applyProtection="1">
      <protection locked="0"/>
    </xf>
    <xf numFmtId="3" fontId="9" fillId="3" borderId="33" xfId="0" applyNumberFormat="1" applyFont="1" applyFill="1" applyBorder="1" applyProtection="1">
      <protection locked="0"/>
    </xf>
    <xf numFmtId="3" fontId="14" fillId="0" borderId="54" xfId="0" applyNumberFormat="1" applyFont="1" applyFill="1" applyBorder="1" applyProtection="1">
      <protection locked="0"/>
    </xf>
    <xf numFmtId="3" fontId="9" fillId="0" borderId="10" xfId="0" applyNumberFormat="1" applyFont="1" applyFill="1" applyBorder="1" applyProtection="1">
      <protection locked="0"/>
    </xf>
    <xf numFmtId="9" fontId="9" fillId="3" borderId="18" xfId="1" applyNumberFormat="1" applyFont="1" applyFill="1" applyBorder="1" applyProtection="1">
      <protection locked="0"/>
    </xf>
    <xf numFmtId="9" fontId="9" fillId="3" borderId="33" xfId="0" applyNumberFormat="1" applyFont="1" applyFill="1" applyBorder="1" applyProtection="1">
      <protection locked="0"/>
    </xf>
    <xf numFmtId="9" fontId="11" fillId="0" borderId="54" xfId="0" applyNumberFormat="1" applyFont="1" applyBorder="1" applyProtection="1">
      <protection locked="0"/>
    </xf>
    <xf numFmtId="3" fontId="9" fillId="3" borderId="31" xfId="0" applyNumberFormat="1" applyFont="1" applyFill="1" applyBorder="1" applyAlignment="1" applyProtection="1">
      <alignment vertical="top"/>
      <protection locked="0"/>
    </xf>
    <xf numFmtId="3" fontId="9" fillId="0" borderId="45" xfId="0" applyNumberFormat="1" applyFont="1" applyBorder="1" applyAlignment="1" applyProtection="1">
      <alignment vertical="top"/>
      <protection locked="0"/>
    </xf>
    <xf numFmtId="3" fontId="9" fillId="3" borderId="33" xfId="0" applyNumberFormat="1" applyFont="1" applyFill="1" applyBorder="1" applyAlignment="1" applyProtection="1">
      <alignment vertical="top"/>
      <protection locked="0"/>
    </xf>
    <xf numFmtId="3" fontId="9" fillId="0" borderId="0" xfId="0" applyNumberFormat="1" applyFont="1" applyBorder="1" applyAlignment="1" applyProtection="1">
      <alignment vertical="top"/>
      <protection locked="0"/>
    </xf>
    <xf numFmtId="3" fontId="5" fillId="0" borderId="52" xfId="0" applyNumberFormat="1" applyFont="1" applyFill="1" applyBorder="1" applyAlignment="1" applyProtection="1">
      <alignment vertical="top"/>
      <protection locked="0"/>
    </xf>
    <xf numFmtId="3" fontId="5" fillId="0" borderId="53" xfId="0" applyNumberFormat="1" applyFont="1" applyBorder="1" applyAlignment="1" applyProtection="1">
      <alignment vertical="top"/>
      <protection locked="0"/>
    </xf>
    <xf numFmtId="3" fontId="5" fillId="0" borderId="41" xfId="0" applyNumberFormat="1" applyFont="1" applyFill="1" applyBorder="1" applyAlignment="1" applyProtection="1">
      <alignment vertical="top"/>
      <protection locked="0"/>
    </xf>
    <xf numFmtId="3" fontId="5" fillId="0" borderId="0" xfId="0" applyNumberFormat="1" applyFont="1" applyFill="1" applyBorder="1" applyAlignment="1" applyProtection="1">
      <alignment vertical="top"/>
      <protection locked="0"/>
    </xf>
    <xf numFmtId="0" fontId="5" fillId="0" borderId="2" xfId="0" applyFont="1" applyBorder="1" applyAlignment="1" applyProtection="1">
      <alignment vertical="top"/>
      <protection locked="0"/>
    </xf>
    <xf numFmtId="0" fontId="5" fillId="0" borderId="16"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39" xfId="0" applyFont="1" applyBorder="1" applyAlignment="1" applyProtection="1">
      <alignment vertical="top" wrapText="1"/>
      <protection locked="0"/>
    </xf>
    <xf numFmtId="0" fontId="5" fillId="0" borderId="56" xfId="0" applyFont="1" applyBorder="1" applyAlignment="1" applyProtection="1">
      <alignment vertical="top"/>
      <protection locked="0"/>
    </xf>
    <xf numFmtId="0" fontId="5" fillId="0" borderId="2" xfId="0" applyFont="1" applyBorder="1" applyAlignment="1" applyProtection="1">
      <alignment vertical="top" wrapText="1"/>
      <protection locked="0"/>
    </xf>
    <xf numFmtId="0" fontId="10" fillId="2" borderId="1" xfId="0" applyFont="1" applyFill="1" applyBorder="1" applyAlignment="1" applyProtection="1">
      <alignment vertical="top"/>
      <protection locked="0"/>
    </xf>
    <xf numFmtId="0" fontId="11" fillId="2" borderId="26" xfId="0" applyFont="1" applyFill="1" applyBorder="1" applyAlignment="1" applyProtection="1">
      <alignment vertical="top"/>
      <protection locked="0"/>
    </xf>
    <xf numFmtId="0" fontId="11" fillId="2" borderId="1" xfId="0" applyFont="1" applyFill="1" applyBorder="1" applyAlignment="1" applyProtection="1">
      <alignment vertical="top"/>
      <protection locked="0"/>
    </xf>
    <xf numFmtId="0" fontId="11" fillId="2" borderId="7" xfId="0" applyFont="1" applyFill="1" applyBorder="1" applyAlignment="1" applyProtection="1">
      <alignment vertical="top"/>
      <protection locked="0"/>
    </xf>
    <xf numFmtId="0" fontId="11" fillId="2" borderId="2" xfId="0" applyFont="1" applyFill="1" applyBorder="1" applyAlignment="1" applyProtection="1">
      <alignment vertical="top"/>
      <protection locked="0"/>
    </xf>
    <xf numFmtId="0" fontId="11" fillId="2" borderId="22" xfId="0" applyFont="1" applyFill="1" applyBorder="1" applyAlignment="1" applyProtection="1">
      <alignment vertical="top"/>
      <protection locked="0"/>
    </xf>
    <xf numFmtId="0" fontId="11" fillId="2" borderId="31" xfId="0" applyFont="1" applyFill="1" applyBorder="1" applyAlignment="1" applyProtection="1">
      <alignment vertical="top"/>
      <protection locked="0"/>
    </xf>
    <xf numFmtId="0" fontId="11" fillId="0" borderId="25"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6" xfId="0" applyFont="1" applyBorder="1" applyAlignment="1" applyProtection="1">
      <alignment vertical="top"/>
      <protection locked="0"/>
    </xf>
    <xf numFmtId="0" fontId="11" fillId="0" borderId="18" xfId="0" applyFont="1" applyBorder="1" applyAlignment="1" applyProtection="1">
      <alignment vertical="top"/>
      <protection locked="0"/>
    </xf>
    <xf numFmtId="9" fontId="9" fillId="3" borderId="25" xfId="1" applyFont="1" applyFill="1" applyBorder="1" applyAlignment="1" applyProtection="1">
      <alignment vertical="top"/>
      <protection locked="0"/>
    </xf>
    <xf numFmtId="0" fontId="9" fillId="0" borderId="6" xfId="0" applyFont="1" applyBorder="1" applyAlignment="1" applyProtection="1">
      <alignment vertical="top"/>
      <protection locked="0"/>
    </xf>
    <xf numFmtId="0" fontId="9" fillId="0" borderId="18" xfId="0" applyFont="1" applyBorder="1" applyAlignment="1" applyProtection="1">
      <alignment vertical="top"/>
      <protection locked="0"/>
    </xf>
    <xf numFmtId="0" fontId="5"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3" fontId="9" fillId="3" borderId="0" xfId="0" applyNumberFormat="1" applyFont="1" applyFill="1" applyAlignment="1" applyProtection="1">
      <alignment vertical="top"/>
      <protection locked="0"/>
    </xf>
    <xf numFmtId="3" fontId="9" fillId="3" borderId="6" xfId="0" applyNumberFormat="1" applyFont="1" applyFill="1" applyBorder="1" applyAlignment="1" applyProtection="1">
      <alignment vertical="top"/>
      <protection locked="0"/>
    </xf>
    <xf numFmtId="9" fontId="9" fillId="3" borderId="0" xfId="1" applyFont="1" applyFill="1" applyAlignment="1" applyProtection="1">
      <alignment vertical="top"/>
      <protection locked="0"/>
    </xf>
    <xf numFmtId="9" fontId="9" fillId="3" borderId="6" xfId="1" applyFont="1" applyFill="1" applyBorder="1" applyAlignment="1" applyProtection="1">
      <alignment vertical="top"/>
      <protection locked="0"/>
    </xf>
    <xf numFmtId="0" fontId="10" fillId="2" borderId="2" xfId="0" applyFont="1" applyFill="1" applyBorder="1" applyAlignment="1" applyProtection="1">
      <alignment vertical="top"/>
      <protection locked="0"/>
    </xf>
    <xf numFmtId="0" fontId="11" fillId="2" borderId="39" xfId="0" applyFont="1" applyFill="1" applyBorder="1" applyAlignment="1" applyProtection="1">
      <alignment vertical="top"/>
      <protection locked="0"/>
    </xf>
    <xf numFmtId="0" fontId="11" fillId="2" borderId="8" xfId="0" applyFont="1" applyFill="1" applyBorder="1" applyAlignment="1" applyProtection="1">
      <alignment vertical="top"/>
      <protection locked="0"/>
    </xf>
    <xf numFmtId="0" fontId="11" fillId="2" borderId="16" xfId="0" applyFont="1" applyFill="1" applyBorder="1" applyAlignment="1" applyProtection="1">
      <alignment vertical="top"/>
      <protection locked="0"/>
    </xf>
    <xf numFmtId="0" fontId="9" fillId="0" borderId="0" xfId="0" applyFont="1" applyAlignment="1" applyProtection="1">
      <alignment horizontal="left" vertical="top"/>
      <protection locked="0"/>
    </xf>
    <xf numFmtId="164" fontId="9" fillId="3" borderId="0" xfId="1" applyNumberFormat="1" applyFont="1" applyFill="1" applyAlignment="1" applyProtection="1">
      <alignment vertical="top"/>
      <protection locked="0"/>
    </xf>
    <xf numFmtId="164" fontId="9" fillId="3" borderId="6" xfId="1" applyNumberFormat="1" applyFont="1" applyFill="1" applyBorder="1" applyAlignment="1" applyProtection="1">
      <alignment vertical="top"/>
      <protection locked="0"/>
    </xf>
    <xf numFmtId="0" fontId="11" fillId="0" borderId="25" xfId="0" applyFont="1" applyBorder="1" applyProtection="1">
      <protection locked="0"/>
    </xf>
    <xf numFmtId="3" fontId="9" fillId="0" borderId="0" xfId="0" applyNumberFormat="1" applyFont="1" applyProtection="1">
      <protection locked="0"/>
    </xf>
    <xf numFmtId="3" fontId="9" fillId="0" borderId="6" xfId="0" applyNumberFormat="1" applyFont="1" applyBorder="1" applyProtection="1">
      <protection locked="0"/>
    </xf>
    <xf numFmtId="0" fontId="7" fillId="0" borderId="10" xfId="0" applyFont="1" applyBorder="1" applyAlignment="1" applyProtection="1">
      <alignment vertical="top"/>
      <protection locked="0"/>
    </xf>
    <xf numFmtId="0" fontId="11" fillId="0" borderId="18" xfId="0" applyFont="1" applyBorder="1" applyProtection="1">
      <protection locked="0"/>
    </xf>
    <xf numFmtId="3" fontId="11" fillId="2" borderId="2" xfId="0" applyNumberFormat="1" applyFont="1" applyFill="1" applyBorder="1" applyAlignment="1" applyProtection="1">
      <alignment vertical="top"/>
      <protection locked="0"/>
    </xf>
    <xf numFmtId="3" fontId="9" fillId="3" borderId="0" xfId="0" applyNumberFormat="1" applyFont="1" applyFill="1" applyProtection="1">
      <protection locked="0"/>
    </xf>
    <xf numFmtId="3" fontId="9" fillId="3" borderId="6" xfId="0" applyNumberFormat="1" applyFont="1" applyFill="1" applyBorder="1" applyProtection="1">
      <protection locked="0"/>
    </xf>
    <xf numFmtId="0" fontId="5" fillId="0" borderId="0" xfId="0" applyFont="1" applyAlignment="1" applyProtection="1">
      <alignment horizontal="left" vertical="top"/>
      <protection locked="0"/>
    </xf>
    <xf numFmtId="3" fontId="5" fillId="0" borderId="0" xfId="0" applyNumberFormat="1" applyFont="1" applyFill="1" applyAlignment="1" applyProtection="1">
      <alignment vertical="top"/>
      <protection locked="0"/>
    </xf>
    <xf numFmtId="3" fontId="5" fillId="0" borderId="6" xfId="0" applyNumberFormat="1" applyFont="1" applyFill="1" applyBorder="1" applyAlignment="1" applyProtection="1">
      <alignment vertical="top"/>
      <protection locked="0"/>
    </xf>
    <xf numFmtId="4" fontId="9" fillId="0" borderId="0" xfId="0" applyNumberFormat="1" applyFont="1" applyFill="1" applyAlignment="1" applyProtection="1">
      <alignment vertical="top"/>
      <protection locked="0"/>
    </xf>
    <xf numFmtId="4" fontId="9" fillId="0" borderId="6" xfId="0" applyNumberFormat="1" applyFont="1" applyFill="1" applyBorder="1" applyAlignment="1" applyProtection="1">
      <alignment vertical="top"/>
      <protection locked="0"/>
    </xf>
    <xf numFmtId="164" fontId="5" fillId="0" borderId="0" xfId="1" applyNumberFormat="1" applyFont="1" applyFill="1" applyAlignment="1" applyProtection="1">
      <alignment vertical="top"/>
      <protection locked="0"/>
    </xf>
    <xf numFmtId="164" fontId="5" fillId="0" borderId="6" xfId="1" applyNumberFormat="1" applyFont="1" applyFill="1" applyBorder="1" applyAlignment="1" applyProtection="1">
      <alignment vertical="top"/>
      <protection locked="0"/>
    </xf>
    <xf numFmtId="0" fontId="9" fillId="0" borderId="0" xfId="0" applyFont="1" applyAlignment="1" applyProtection="1">
      <alignment horizontal="left" vertical="top" indent="2"/>
      <protection locked="0"/>
    </xf>
    <xf numFmtId="9" fontId="9" fillId="3" borderId="0" xfId="0" applyNumberFormat="1" applyFont="1" applyFill="1" applyAlignment="1" applyProtection="1">
      <alignment vertical="top"/>
      <protection locked="0"/>
    </xf>
    <xf numFmtId="9" fontId="9" fillId="3" borderId="6" xfId="0" applyNumberFormat="1" applyFont="1" applyFill="1" applyBorder="1" applyAlignment="1" applyProtection="1">
      <alignment vertical="top"/>
      <protection locked="0"/>
    </xf>
    <xf numFmtId="0" fontId="8" fillId="0" borderId="0" xfId="0" applyFont="1" applyProtection="1">
      <protection locked="0"/>
    </xf>
    <xf numFmtId="0" fontId="8" fillId="0" borderId="18" xfId="0" applyFont="1" applyBorder="1" applyProtection="1">
      <protection locked="0"/>
    </xf>
    <xf numFmtId="165" fontId="9" fillId="3" borderId="0" xfId="0" applyNumberFormat="1" applyFont="1" applyFill="1" applyAlignment="1" applyProtection="1">
      <alignment vertical="top"/>
      <protection locked="0"/>
    </xf>
    <xf numFmtId="165" fontId="9" fillId="3" borderId="6" xfId="0" applyNumberFormat="1" applyFont="1" applyFill="1" applyBorder="1" applyAlignment="1" applyProtection="1">
      <alignment vertical="top"/>
      <protection locked="0"/>
    </xf>
    <xf numFmtId="0" fontId="5" fillId="2" borderId="1" xfId="0" applyFont="1" applyFill="1" applyBorder="1" applyAlignment="1" applyProtection="1">
      <alignment vertical="top"/>
      <protection locked="0"/>
    </xf>
    <xf numFmtId="0" fontId="9" fillId="2" borderId="26" xfId="0" applyFont="1" applyFill="1" applyBorder="1" applyAlignment="1" applyProtection="1">
      <alignment vertical="top"/>
      <protection locked="0"/>
    </xf>
    <xf numFmtId="0" fontId="9" fillId="2" borderId="1" xfId="0" applyFont="1" applyFill="1" applyBorder="1" applyAlignment="1" applyProtection="1">
      <alignment vertical="top"/>
      <protection locked="0"/>
    </xf>
    <xf numFmtId="0" fontId="9" fillId="2" borderId="7" xfId="0" applyFont="1" applyFill="1" applyBorder="1" applyAlignment="1" applyProtection="1">
      <alignment vertical="top"/>
      <protection locked="0"/>
    </xf>
    <xf numFmtId="0" fontId="9" fillId="2" borderId="22" xfId="0" applyFont="1" applyFill="1" applyBorder="1" applyAlignment="1" applyProtection="1">
      <alignment vertical="top"/>
      <protection locked="0"/>
    </xf>
    <xf numFmtId="0" fontId="18" fillId="2" borderId="0" xfId="0" applyFont="1" applyFill="1" applyAlignment="1" applyProtection="1">
      <alignment vertical="top"/>
      <protection locked="0"/>
    </xf>
    <xf numFmtId="0" fontId="18" fillId="2" borderId="0" xfId="0" applyFont="1" applyFill="1" applyAlignment="1" applyProtection="1">
      <alignment vertical="top" wrapText="1"/>
      <protection locked="0"/>
    </xf>
    <xf numFmtId="0" fontId="19" fillId="2" borderId="0" xfId="0" applyFont="1" applyFill="1" applyAlignment="1" applyProtection="1">
      <alignment vertical="top"/>
      <protection locked="0"/>
    </xf>
    <xf numFmtId="0" fontId="16" fillId="0" borderId="0" xfId="0" applyFont="1" applyAlignment="1" applyProtection="1">
      <alignment vertical="top"/>
      <protection locked="0"/>
    </xf>
    <xf numFmtId="0" fontId="16" fillId="0" borderId="0" xfId="0" applyFont="1" applyAlignment="1" applyProtection="1">
      <alignment vertical="center"/>
      <protection locked="0"/>
    </xf>
    <xf numFmtId="0" fontId="16" fillId="0" borderId="0" xfId="0" applyFont="1" applyBorder="1" applyAlignment="1" applyProtection="1">
      <alignment vertical="top"/>
      <protection locked="0"/>
    </xf>
    <xf numFmtId="0" fontId="16" fillId="0" borderId="0" xfId="0" applyFont="1" applyBorder="1" applyProtection="1">
      <protection locked="0"/>
    </xf>
    <xf numFmtId="0" fontId="19" fillId="0" borderId="2" xfId="0" applyFont="1" applyBorder="1" applyProtection="1">
      <protection locked="0"/>
    </xf>
    <xf numFmtId="0" fontId="19" fillId="0" borderId="8" xfId="0" applyFont="1" applyBorder="1" applyProtection="1">
      <protection locked="0"/>
    </xf>
    <xf numFmtId="0" fontId="19" fillId="0" borderId="1" xfId="0" applyFont="1" applyBorder="1" applyProtection="1">
      <protection locked="0"/>
    </xf>
    <xf numFmtId="0" fontId="19" fillId="0" borderId="0" xfId="0" applyFont="1" applyAlignment="1" applyProtection="1">
      <alignment horizontal="left" vertical="center" indent="1"/>
      <protection locked="0"/>
    </xf>
    <xf numFmtId="0" fontId="19" fillId="0" borderId="0" xfId="0" applyFont="1" applyAlignment="1" applyProtection="1">
      <alignment horizontal="left" vertical="center"/>
      <protection locked="0"/>
    </xf>
    <xf numFmtId="0" fontId="19" fillId="0" borderId="0" xfId="0" applyFont="1" applyAlignment="1" applyProtection="1">
      <alignment wrapText="1"/>
      <protection locked="0"/>
    </xf>
    <xf numFmtId="0" fontId="15" fillId="0" borderId="5" xfId="0" applyFont="1" applyFill="1" applyBorder="1" applyAlignment="1" applyProtection="1">
      <alignment horizontal="left" vertical="center"/>
      <protection locked="0"/>
    </xf>
    <xf numFmtId="0" fontId="15" fillId="3" borderId="5" xfId="0" applyFont="1" applyFill="1" applyBorder="1" applyAlignment="1" applyProtection="1">
      <alignment vertical="center"/>
      <protection locked="0"/>
    </xf>
    <xf numFmtId="14" fontId="16" fillId="3" borderId="5" xfId="0" applyNumberFormat="1"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19" fillId="0" borderId="0" xfId="0" applyFont="1" applyAlignment="1" applyProtection="1">
      <alignment vertical="center" wrapText="1"/>
      <protection locked="0"/>
    </xf>
    <xf numFmtId="0" fontId="15" fillId="0" borderId="34" xfId="0" applyFont="1" applyFill="1" applyBorder="1" applyAlignment="1" applyProtection="1">
      <alignment horizontal="left" vertical="center"/>
      <protection locked="0"/>
    </xf>
    <xf numFmtId="0" fontId="15" fillId="0" borderId="34" xfId="0" applyFont="1" applyFill="1" applyBorder="1" applyAlignment="1" applyProtection="1">
      <alignment horizontal="left" vertical="top" wrapText="1"/>
      <protection locked="0"/>
    </xf>
    <xf numFmtId="0" fontId="19" fillId="0" borderId="1" xfId="0" applyFont="1" applyFill="1" applyBorder="1" applyAlignment="1" applyProtection="1">
      <alignment vertical="center"/>
      <protection locked="0"/>
    </xf>
    <xf numFmtId="0" fontId="19" fillId="0" borderId="1" xfId="0" applyFont="1" applyFill="1" applyBorder="1" applyAlignment="1" applyProtection="1">
      <alignment vertical="center" wrapText="1"/>
      <protection locked="0"/>
    </xf>
    <xf numFmtId="0" fontId="16" fillId="0" borderId="0"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8" fillId="4" borderId="0" xfId="0" applyFont="1" applyFill="1" applyAlignment="1" applyProtection="1">
      <alignment vertical="top" wrapText="1"/>
      <protection locked="0"/>
    </xf>
    <xf numFmtId="167" fontId="19" fillId="0" borderId="0" xfId="0" applyNumberFormat="1" applyFont="1" applyAlignment="1" applyProtection="1">
      <alignment vertical="top"/>
      <protection locked="0"/>
    </xf>
    <xf numFmtId="0" fontId="18" fillId="0" borderId="0" xfId="0" applyFont="1" applyAlignment="1" applyProtection="1">
      <alignment vertical="top" wrapText="1"/>
      <protection locked="0"/>
    </xf>
    <xf numFmtId="0" fontId="16" fillId="0" borderId="0"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19" fillId="0" borderId="0" xfId="0" applyFont="1" applyFill="1" applyAlignment="1" applyProtection="1">
      <alignment vertical="top"/>
      <protection locked="0"/>
    </xf>
    <xf numFmtId="0" fontId="18" fillId="0" borderId="56" xfId="0" applyFont="1" applyBorder="1" applyAlignment="1" applyProtection="1">
      <alignment vertical="top"/>
      <protection locked="0"/>
    </xf>
    <xf numFmtId="0" fontId="15" fillId="0" borderId="56" xfId="0" applyFont="1" applyFill="1" applyBorder="1" applyAlignment="1" applyProtection="1">
      <alignment vertical="top"/>
      <protection locked="0"/>
    </xf>
    <xf numFmtId="0" fontId="18" fillId="0" borderId="18"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2" xfId="0" applyFont="1" applyBorder="1" applyAlignment="1" applyProtection="1">
      <alignment horizontal="left" vertical="top" textRotation="90" wrapText="1"/>
      <protection locked="0"/>
    </xf>
    <xf numFmtId="0" fontId="19" fillId="0" borderId="39" xfId="0" applyFont="1" applyBorder="1" applyAlignment="1" applyProtection="1">
      <alignment vertical="top" wrapText="1"/>
      <protection locked="0"/>
    </xf>
    <xf numFmtId="0" fontId="18" fillId="0" borderId="45" xfId="0" applyFont="1" applyFill="1" applyBorder="1" applyAlignment="1" applyProtection="1">
      <alignment vertical="top" wrapText="1"/>
      <protection locked="0"/>
    </xf>
    <xf numFmtId="0" fontId="19" fillId="0" borderId="45" xfId="0" applyFont="1" applyBorder="1" applyAlignment="1" applyProtection="1">
      <alignment vertical="top" wrapText="1"/>
      <protection locked="0"/>
    </xf>
    <xf numFmtId="0" fontId="19" fillId="0" borderId="22" xfId="0" applyFont="1" applyFill="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8" fillId="0" borderId="21" xfId="0" applyFont="1" applyFill="1" applyBorder="1" applyAlignment="1" applyProtection="1">
      <alignment vertical="top" wrapText="1"/>
      <protection locked="0"/>
    </xf>
    <xf numFmtId="0" fontId="19" fillId="0" borderId="26" xfId="0" applyFont="1" applyBorder="1" applyAlignment="1" applyProtection="1">
      <alignment vertical="top" wrapText="1"/>
      <protection locked="0"/>
    </xf>
    <xf numFmtId="0" fontId="19" fillId="0" borderId="12" xfId="0" applyFont="1" applyBorder="1" applyAlignment="1" applyProtection="1">
      <alignment vertical="top" wrapText="1"/>
      <protection locked="0"/>
    </xf>
    <xf numFmtId="0" fontId="19" fillId="0" borderId="16"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9" fillId="0" borderId="25" xfId="0" applyFont="1" applyBorder="1" applyAlignment="1" applyProtection="1">
      <alignment vertical="top" wrapText="1"/>
      <protection locked="0"/>
    </xf>
    <xf numFmtId="0" fontId="19" fillId="0" borderId="16" xfId="0" applyFont="1" applyFill="1" applyBorder="1" applyAlignment="1" applyProtection="1">
      <alignment vertical="top" wrapText="1"/>
      <protection locked="0"/>
    </xf>
    <xf numFmtId="0" fontId="19" fillId="0" borderId="39" xfId="0" applyFont="1" applyFill="1" applyBorder="1" applyAlignment="1" applyProtection="1">
      <alignment vertical="top" wrapText="1"/>
      <protection locked="0"/>
    </xf>
    <xf numFmtId="0" fontId="19" fillId="0" borderId="12" xfId="0" applyFont="1" applyFill="1" applyBorder="1" applyAlignment="1" applyProtection="1">
      <alignment vertical="top" wrapText="1"/>
      <protection locked="0"/>
    </xf>
    <xf numFmtId="3" fontId="18" fillId="3" borderId="13" xfId="0" applyNumberFormat="1" applyFont="1" applyFill="1" applyBorder="1" applyAlignment="1" applyProtection="1">
      <alignment vertical="top"/>
      <protection locked="0"/>
    </xf>
    <xf numFmtId="3" fontId="19" fillId="3" borderId="40" xfId="0" applyNumberFormat="1" applyFont="1" applyFill="1" applyBorder="1" applyAlignment="1" applyProtection="1">
      <alignment vertical="top"/>
      <protection locked="0"/>
    </xf>
    <xf numFmtId="164" fontId="19" fillId="0" borderId="40" xfId="1" applyNumberFormat="1" applyFont="1" applyFill="1" applyBorder="1" applyAlignment="1" applyProtection="1">
      <alignment vertical="top" wrapText="1"/>
      <protection locked="0"/>
    </xf>
    <xf numFmtId="3" fontId="19" fillId="0" borderId="13" xfId="0" applyNumberFormat="1" applyFont="1" applyFill="1" applyBorder="1" applyAlignment="1" applyProtection="1">
      <alignment vertical="top" wrapText="1"/>
      <protection locked="0"/>
    </xf>
    <xf numFmtId="9" fontId="19" fillId="0" borderId="36" xfId="0" applyNumberFormat="1" applyFont="1" applyFill="1" applyBorder="1" applyAlignment="1" applyProtection="1">
      <alignment horizontal="right" vertical="top"/>
      <protection locked="0"/>
    </xf>
    <xf numFmtId="3" fontId="19" fillId="3" borderId="13" xfId="0" applyNumberFormat="1" applyFont="1" applyFill="1" applyBorder="1" applyAlignment="1" applyProtection="1">
      <alignment vertical="top"/>
      <protection locked="0"/>
    </xf>
    <xf numFmtId="3" fontId="19" fillId="3" borderId="17" xfId="0" applyNumberFormat="1" applyFont="1" applyFill="1" applyBorder="1" applyAlignment="1" applyProtection="1">
      <alignment vertical="top"/>
      <protection locked="0"/>
    </xf>
    <xf numFmtId="3" fontId="18" fillId="3" borderId="35" xfId="0" applyNumberFormat="1" applyFont="1" applyFill="1" applyBorder="1" applyAlignment="1" applyProtection="1">
      <alignment vertical="top"/>
      <protection locked="0"/>
    </xf>
    <xf numFmtId="3" fontId="19" fillId="3" borderId="38" xfId="0" applyNumberFormat="1" applyFont="1" applyFill="1" applyBorder="1" applyAlignment="1" applyProtection="1">
      <alignment vertical="top"/>
      <protection locked="0"/>
    </xf>
    <xf numFmtId="164" fontId="19" fillId="0" borderId="38" xfId="1" applyNumberFormat="1" applyFont="1" applyFill="1" applyBorder="1" applyAlignment="1" applyProtection="1">
      <alignment vertical="top" wrapText="1"/>
      <protection locked="0"/>
    </xf>
    <xf numFmtId="3" fontId="19" fillId="0" borderId="35" xfId="0" applyNumberFormat="1" applyFont="1" applyFill="1" applyBorder="1" applyAlignment="1" applyProtection="1">
      <alignment vertical="top" wrapText="1"/>
      <protection locked="0"/>
    </xf>
    <xf numFmtId="3" fontId="19" fillId="3" borderId="35" xfId="0" applyNumberFormat="1" applyFont="1" applyFill="1" applyBorder="1" applyAlignment="1" applyProtection="1">
      <alignment vertical="top"/>
      <protection locked="0"/>
    </xf>
    <xf numFmtId="3" fontId="19" fillId="3" borderId="29" xfId="0" applyNumberFormat="1" applyFont="1" applyFill="1" applyBorder="1" applyAlignment="1" applyProtection="1">
      <alignment vertical="top"/>
      <protection locked="0"/>
    </xf>
    <xf numFmtId="3" fontId="18" fillId="3" borderId="64" xfId="0" applyNumberFormat="1" applyFont="1" applyFill="1" applyBorder="1" applyAlignment="1" applyProtection="1">
      <alignment vertical="top"/>
      <protection locked="0"/>
    </xf>
    <xf numFmtId="3" fontId="19" fillId="3" borderId="37" xfId="0" applyNumberFormat="1" applyFont="1" applyFill="1" applyBorder="1" applyAlignment="1" applyProtection="1">
      <alignment vertical="top"/>
      <protection locked="0"/>
    </xf>
    <xf numFmtId="3" fontId="19" fillId="0" borderId="64" xfId="0" applyNumberFormat="1" applyFont="1" applyFill="1" applyBorder="1" applyAlignment="1" applyProtection="1">
      <alignment vertical="top" wrapText="1"/>
      <protection locked="0"/>
    </xf>
    <xf numFmtId="9" fontId="19" fillId="0" borderId="25" xfId="0" applyNumberFormat="1" applyFont="1" applyFill="1" applyBorder="1" applyAlignment="1" applyProtection="1">
      <alignment horizontal="right" vertical="top"/>
      <protection locked="0"/>
    </xf>
    <xf numFmtId="3" fontId="19" fillId="3" borderId="64" xfId="0" applyNumberFormat="1" applyFont="1" applyFill="1" applyBorder="1" applyAlignment="1" applyProtection="1">
      <alignment vertical="top"/>
      <protection locked="0"/>
    </xf>
    <xf numFmtId="3" fontId="19" fillId="3" borderId="30" xfId="0" applyNumberFormat="1" applyFont="1" applyFill="1" applyBorder="1" applyAlignment="1" applyProtection="1">
      <alignment vertical="top"/>
      <protection locked="0"/>
    </xf>
    <xf numFmtId="3" fontId="18" fillId="3" borderId="63" xfId="0" applyNumberFormat="1" applyFont="1" applyFill="1" applyBorder="1" applyAlignment="1" applyProtection="1">
      <alignment vertical="top"/>
      <protection locked="0"/>
    </xf>
    <xf numFmtId="3" fontId="19" fillId="3" borderId="58" xfId="0" applyNumberFormat="1" applyFont="1" applyFill="1" applyBorder="1" applyAlignment="1" applyProtection="1">
      <alignment vertical="top"/>
      <protection locked="0"/>
    </xf>
    <xf numFmtId="164" fontId="19" fillId="0" borderId="58" xfId="1" applyNumberFormat="1" applyFont="1" applyFill="1" applyBorder="1" applyAlignment="1" applyProtection="1">
      <alignment vertical="top" wrapText="1"/>
      <protection locked="0"/>
    </xf>
    <xf numFmtId="3" fontId="19" fillId="0" borderId="63" xfId="0" applyNumberFormat="1" applyFont="1" applyFill="1" applyBorder="1" applyAlignment="1" applyProtection="1">
      <alignment vertical="top" wrapText="1"/>
      <protection locked="0"/>
    </xf>
    <xf numFmtId="9" fontId="19" fillId="0" borderId="58" xfId="0" applyNumberFormat="1" applyFont="1" applyFill="1" applyBorder="1" applyAlignment="1" applyProtection="1">
      <alignment horizontal="right" vertical="top"/>
      <protection locked="0"/>
    </xf>
    <xf numFmtId="3" fontId="19" fillId="3" borderId="63" xfId="0" applyNumberFormat="1" applyFont="1" applyFill="1" applyBorder="1" applyAlignment="1" applyProtection="1">
      <alignment vertical="top"/>
      <protection locked="0"/>
    </xf>
    <xf numFmtId="3" fontId="19" fillId="3" borderId="59" xfId="0" applyNumberFormat="1" applyFont="1" applyFill="1" applyBorder="1" applyAlignment="1" applyProtection="1">
      <alignment vertical="top"/>
      <protection locked="0"/>
    </xf>
    <xf numFmtId="0" fontId="18" fillId="0" borderId="28" xfId="0" applyFont="1" applyBorder="1" applyAlignment="1" applyProtection="1">
      <alignment vertical="top"/>
      <protection locked="0"/>
    </xf>
    <xf numFmtId="0" fontId="18" fillId="0" borderId="3" xfId="0" applyFont="1" applyBorder="1" applyAlignment="1" applyProtection="1">
      <alignment vertical="top"/>
      <protection locked="0"/>
    </xf>
    <xf numFmtId="0" fontId="19" fillId="0" borderId="3" xfId="0" applyFont="1" applyBorder="1" applyAlignment="1" applyProtection="1">
      <alignment vertical="top"/>
      <protection locked="0"/>
    </xf>
    <xf numFmtId="3" fontId="19" fillId="3" borderId="17" xfId="0" applyNumberFormat="1" applyFont="1" applyFill="1" applyBorder="1" applyAlignment="1" applyProtection="1">
      <alignment vertical="top" wrapText="1"/>
      <protection locked="0"/>
    </xf>
    <xf numFmtId="3" fontId="19" fillId="3" borderId="29" xfId="0" applyNumberFormat="1" applyFont="1" applyFill="1" applyBorder="1" applyAlignment="1" applyProtection="1">
      <alignment vertical="top" wrapText="1"/>
      <protection locked="0"/>
    </xf>
    <xf numFmtId="0" fontId="15" fillId="0" borderId="1"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15" fillId="3" borderId="0" xfId="0" applyFont="1" applyFill="1" applyBorder="1" applyAlignment="1" applyProtection="1">
      <alignment vertical="top" wrapText="1"/>
      <protection locked="0"/>
    </xf>
    <xf numFmtId="0" fontId="19" fillId="3" borderId="13" xfId="0" applyFont="1" applyFill="1" applyBorder="1" applyAlignment="1" applyProtection="1">
      <alignment vertical="top" wrapText="1"/>
      <protection locked="0"/>
    </xf>
    <xf numFmtId="0" fontId="19" fillId="3" borderId="35" xfId="0" applyFont="1" applyFill="1" applyBorder="1" applyAlignment="1" applyProtection="1">
      <alignment vertical="top" wrapText="1"/>
      <protection locked="0"/>
    </xf>
    <xf numFmtId="0" fontId="19" fillId="3" borderId="64" xfId="0" applyFont="1" applyFill="1" applyBorder="1" applyAlignment="1" applyProtection="1">
      <alignment vertical="top" wrapText="1"/>
      <protection locked="0"/>
    </xf>
    <xf numFmtId="0" fontId="19" fillId="3" borderId="63" xfId="0" applyFont="1" applyFill="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0" xfId="0" quotePrefix="1" applyFont="1" applyFill="1" applyBorder="1" applyAlignment="1" applyProtection="1">
      <alignment vertical="top" wrapText="1"/>
      <protection locked="0"/>
    </xf>
    <xf numFmtId="0" fontId="26" fillId="2" borderId="0" xfId="0" applyFont="1" applyFill="1" applyAlignment="1" applyProtection="1">
      <alignment horizontal="left" vertical="center"/>
      <protection locked="0"/>
    </xf>
    <xf numFmtId="0" fontId="15" fillId="3" borderId="0" xfId="0" applyFont="1" applyFill="1" applyBorder="1" applyAlignment="1" applyProtection="1">
      <alignment vertical="center"/>
      <protection locked="0"/>
    </xf>
    <xf numFmtId="0" fontId="19" fillId="0" borderId="1" xfId="0" applyFont="1" applyBorder="1" applyAlignment="1" applyProtection="1">
      <alignment vertical="top" wrapText="1"/>
      <protection locked="0"/>
    </xf>
    <xf numFmtId="0" fontId="19" fillId="0" borderId="8" xfId="0" applyFont="1" applyBorder="1" applyAlignment="1" applyProtection="1">
      <alignment vertical="top" wrapText="1"/>
      <protection locked="0"/>
    </xf>
    <xf numFmtId="3" fontId="19" fillId="3" borderId="0" xfId="0" applyNumberFormat="1" applyFont="1" applyFill="1" applyAlignment="1" applyProtection="1">
      <alignment vertical="top"/>
      <protection locked="0"/>
    </xf>
    <xf numFmtId="0" fontId="19" fillId="0" borderId="6" xfId="0" applyFont="1" applyBorder="1" applyAlignment="1" applyProtection="1">
      <alignment horizontal="left" vertical="center" indent="1"/>
      <protection locked="0"/>
    </xf>
    <xf numFmtId="3" fontId="19" fillId="3" borderId="6" xfId="0" applyNumberFormat="1" applyFont="1" applyFill="1" applyBorder="1" applyAlignment="1" applyProtection="1">
      <alignment vertical="top"/>
      <protection locked="0"/>
    </xf>
    <xf numFmtId="3" fontId="19" fillId="0" borderId="6" xfId="0" applyNumberFormat="1" applyFont="1" applyFill="1" applyBorder="1" applyAlignment="1" applyProtection="1">
      <alignment vertical="top"/>
      <protection locked="0"/>
    </xf>
    <xf numFmtId="0" fontId="15" fillId="0" borderId="2" xfId="0" applyFont="1" applyBorder="1" applyAlignment="1" applyProtection="1">
      <alignment vertical="top"/>
      <protection locked="0"/>
    </xf>
    <xf numFmtId="0" fontId="18" fillId="0" borderId="6" xfId="0" applyFont="1" applyBorder="1" applyAlignment="1" applyProtection="1">
      <alignment vertical="top"/>
      <protection locked="0"/>
    </xf>
    <xf numFmtId="3" fontId="19" fillId="3" borderId="0" xfId="0" applyNumberFormat="1" applyFont="1" applyFill="1" applyBorder="1" applyAlignment="1" applyProtection="1">
      <alignment vertical="top"/>
      <protection locked="0"/>
    </xf>
    <xf numFmtId="0" fontId="19" fillId="3" borderId="6" xfId="0" applyFont="1" applyFill="1" applyBorder="1" applyAlignment="1" applyProtection="1">
      <alignment horizontal="left" vertical="center" indent="1"/>
      <protection locked="0"/>
    </xf>
    <xf numFmtId="0" fontId="15" fillId="0" borderId="8" xfId="0" applyFont="1" applyBorder="1" applyAlignment="1" applyProtection="1">
      <alignment vertical="top" wrapText="1"/>
      <protection locked="0"/>
    </xf>
    <xf numFmtId="9" fontId="16" fillId="0" borderId="0" xfId="1" applyFont="1" applyAlignment="1" applyProtection="1">
      <alignment vertical="top"/>
      <protection locked="0"/>
    </xf>
    <xf numFmtId="0" fontId="15" fillId="3" borderId="6" xfId="0" applyFont="1" applyFill="1" applyBorder="1" applyAlignment="1" applyProtection="1">
      <alignment vertical="top"/>
      <protection locked="0"/>
    </xf>
    <xf numFmtId="3" fontId="19" fillId="0" borderId="0" xfId="0" applyNumberFormat="1" applyFont="1" applyBorder="1" applyAlignment="1" applyProtection="1">
      <alignment vertical="top"/>
      <protection locked="0"/>
    </xf>
    <xf numFmtId="3" fontId="19" fillId="0" borderId="4" xfId="0" applyNumberFormat="1" applyFont="1" applyBorder="1" applyAlignment="1" applyProtection="1">
      <alignment vertical="top"/>
      <protection locked="0"/>
    </xf>
    <xf numFmtId="0" fontId="15" fillId="0" borderId="1" xfId="0" applyFont="1" applyBorder="1" applyProtection="1">
      <protection locked="0"/>
    </xf>
    <xf numFmtId="0" fontId="16" fillId="0" borderId="1" xfId="0" applyFont="1" applyBorder="1" applyProtection="1">
      <protection locked="0"/>
    </xf>
    <xf numFmtId="9" fontId="16" fillId="3" borderId="6" xfId="0" quotePrefix="1" applyNumberFormat="1" applyFont="1" applyFill="1" applyBorder="1" applyAlignment="1" applyProtection="1">
      <alignment horizontal="right"/>
      <protection locked="0"/>
    </xf>
    <xf numFmtId="0" fontId="16" fillId="0" borderId="3" xfId="0" applyFont="1" applyBorder="1" applyProtection="1">
      <protection locked="0"/>
    </xf>
    <xf numFmtId="0" fontId="16" fillId="0" borderId="23" xfId="0" applyFont="1" applyBorder="1" applyProtection="1">
      <protection locked="0"/>
    </xf>
    <xf numFmtId="0" fontId="19" fillId="0" borderId="7" xfId="0" applyFont="1" applyBorder="1" applyAlignment="1" applyProtection="1">
      <alignment vertical="top"/>
      <protection locked="0"/>
    </xf>
    <xf numFmtId="0" fontId="24" fillId="0" borderId="2" xfId="0" applyFont="1" applyBorder="1" applyAlignment="1" applyProtection="1">
      <alignment vertical="center" wrapText="1"/>
      <protection locked="0"/>
    </xf>
    <xf numFmtId="0" fontId="27" fillId="10" borderId="71" xfId="0" applyFont="1" applyFill="1" applyBorder="1" applyAlignment="1" applyProtection="1">
      <alignment vertical="center" wrapText="1"/>
      <protection locked="0"/>
    </xf>
    <xf numFmtId="0" fontId="27" fillId="0" borderId="71"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19" fillId="4" borderId="17" xfId="0" applyFont="1" applyFill="1" applyBorder="1" applyAlignment="1" applyProtection="1">
      <alignment vertical="top" wrapText="1"/>
      <protection locked="0"/>
    </xf>
    <xf numFmtId="0" fontId="19" fillId="4" borderId="34" xfId="0" applyFont="1" applyFill="1" applyBorder="1" applyAlignment="1" applyProtection="1">
      <alignment vertical="center"/>
      <protection locked="0"/>
    </xf>
    <xf numFmtId="0" fontId="16" fillId="4" borderId="1" xfId="0" applyFont="1" applyFill="1" applyBorder="1" applyAlignment="1" applyProtection="1">
      <alignment vertical="center"/>
      <protection locked="0"/>
    </xf>
    <xf numFmtId="0" fontId="19" fillId="4" borderId="5" xfId="0" applyFont="1" applyFill="1" applyBorder="1" applyAlignment="1" applyProtection="1">
      <alignment vertical="top" wrapText="1"/>
      <protection locked="0"/>
    </xf>
    <xf numFmtId="3" fontId="19" fillId="0" borderId="29" xfId="0" applyNumberFormat="1" applyFont="1" applyFill="1" applyBorder="1" applyAlignment="1" applyProtection="1">
      <alignment vertical="top"/>
      <protection locked="0"/>
    </xf>
    <xf numFmtId="3" fontId="18" fillId="0" borderId="61" xfId="0" applyNumberFormat="1" applyFont="1" applyFill="1" applyBorder="1" applyAlignment="1" applyProtection="1">
      <alignment vertical="top"/>
      <protection locked="0"/>
    </xf>
    <xf numFmtId="9" fontId="19" fillId="0" borderId="55" xfId="1" applyFont="1" applyBorder="1" applyAlignment="1" applyProtection="1">
      <alignment vertical="top" wrapText="1"/>
      <protection locked="0"/>
    </xf>
    <xf numFmtId="10" fontId="19" fillId="0" borderId="29" xfId="1" applyNumberFormat="1" applyFont="1" applyFill="1" applyBorder="1" applyAlignment="1" applyProtection="1">
      <alignment vertical="top" wrapText="1"/>
      <protection locked="0"/>
    </xf>
    <xf numFmtId="9" fontId="19" fillId="0" borderId="14" xfId="1" applyFont="1" applyBorder="1" applyAlignment="1" applyProtection="1">
      <alignment vertical="top" wrapText="1"/>
      <protection locked="0"/>
    </xf>
    <xf numFmtId="164" fontId="19" fillId="0" borderId="29" xfId="1" applyNumberFormat="1" applyFont="1" applyFill="1" applyBorder="1" applyAlignment="1" applyProtection="1">
      <alignment vertical="top" wrapText="1"/>
      <protection locked="0"/>
    </xf>
    <xf numFmtId="9" fontId="19" fillId="0" borderId="17" xfId="1" applyFont="1" applyBorder="1" applyAlignment="1" applyProtection="1">
      <alignment vertical="top" wrapText="1"/>
      <protection locked="0"/>
    </xf>
    <xf numFmtId="3" fontId="19" fillId="3" borderId="40" xfId="0" applyNumberFormat="1" applyFont="1" applyFill="1" applyBorder="1" applyAlignment="1" applyProtection="1">
      <alignment horizontal="right" vertical="top"/>
      <protection locked="0"/>
    </xf>
    <xf numFmtId="3" fontId="18" fillId="0" borderId="61" xfId="0" applyNumberFormat="1" applyFont="1" applyBorder="1" applyAlignment="1" applyProtection="1">
      <alignment vertical="top"/>
      <protection locked="0"/>
    </xf>
    <xf numFmtId="3" fontId="19" fillId="0" borderId="29" xfId="0" applyNumberFormat="1" applyFont="1" applyFill="1" applyBorder="1" applyAlignment="1" applyProtection="1">
      <alignment vertical="top" wrapText="1"/>
      <protection locked="0"/>
    </xf>
    <xf numFmtId="0" fontId="19" fillId="4" borderId="34" xfId="0" applyFont="1" applyFill="1" applyBorder="1" applyAlignment="1" applyProtection="1">
      <alignment vertical="top" wrapText="1"/>
      <protection locked="0"/>
    </xf>
    <xf numFmtId="0" fontId="19" fillId="4" borderId="29" xfId="0" applyFont="1" applyFill="1" applyBorder="1" applyAlignment="1" applyProtection="1">
      <alignment vertical="top" wrapText="1"/>
      <protection locked="0"/>
    </xf>
    <xf numFmtId="3" fontId="18" fillId="0" borderId="62" xfId="0" applyNumberFormat="1" applyFont="1" applyFill="1" applyBorder="1" applyAlignment="1" applyProtection="1">
      <alignment vertical="top"/>
      <protection locked="0"/>
    </xf>
    <xf numFmtId="3" fontId="19" fillId="3" borderId="38" xfId="0" applyNumberFormat="1" applyFont="1" applyFill="1" applyBorder="1" applyAlignment="1" applyProtection="1">
      <alignment horizontal="right" vertical="top"/>
      <protection locked="0"/>
    </xf>
    <xf numFmtId="3" fontId="18" fillId="0" borderId="62" xfId="0" applyNumberFormat="1" applyFont="1" applyBorder="1" applyAlignment="1" applyProtection="1">
      <alignment vertical="top"/>
      <protection locked="0"/>
    </xf>
    <xf numFmtId="0" fontId="19" fillId="4" borderId="65" xfId="0" applyFont="1" applyFill="1" applyBorder="1" applyAlignment="1" applyProtection="1">
      <alignment vertical="top" wrapText="1"/>
      <protection locked="0"/>
    </xf>
    <xf numFmtId="0" fontId="19" fillId="4" borderId="30" xfId="0" applyFont="1" applyFill="1" applyBorder="1" applyAlignment="1" applyProtection="1">
      <alignment vertical="top" wrapText="1"/>
      <protection locked="0"/>
    </xf>
    <xf numFmtId="3" fontId="18" fillId="0" borderId="43" xfId="0" applyNumberFormat="1" applyFont="1" applyFill="1" applyBorder="1" applyAlignment="1" applyProtection="1">
      <alignment vertical="top"/>
      <protection locked="0"/>
    </xf>
    <xf numFmtId="3" fontId="19" fillId="3" borderId="37" xfId="0" applyNumberFormat="1" applyFont="1" applyFill="1" applyBorder="1" applyAlignment="1" applyProtection="1">
      <alignment horizontal="right" vertical="top"/>
      <protection locked="0"/>
    </xf>
    <xf numFmtId="3" fontId="18" fillId="0" borderId="43" xfId="0" applyNumberFormat="1" applyFont="1" applyBorder="1" applyAlignment="1" applyProtection="1">
      <alignment vertical="top"/>
      <protection locked="0"/>
    </xf>
    <xf numFmtId="3" fontId="19" fillId="0" borderId="30" xfId="0" applyNumberFormat="1" applyFont="1" applyFill="1" applyBorder="1" applyAlignment="1" applyProtection="1">
      <alignment vertical="top" wrapText="1"/>
      <protection locked="0"/>
    </xf>
    <xf numFmtId="0" fontId="19" fillId="4" borderId="60" xfId="0" applyFont="1" applyFill="1" applyBorder="1" applyAlignment="1" applyProtection="1">
      <alignment vertical="top" wrapText="1"/>
      <protection locked="0"/>
    </xf>
    <xf numFmtId="0" fontId="19" fillId="4" borderId="59" xfId="0" applyFont="1" applyFill="1" applyBorder="1" applyAlignment="1" applyProtection="1">
      <alignment vertical="top" wrapText="1"/>
      <protection locked="0"/>
    </xf>
    <xf numFmtId="3" fontId="18" fillId="0" borderId="66" xfId="0" applyNumberFormat="1" applyFont="1" applyFill="1" applyBorder="1" applyAlignment="1" applyProtection="1">
      <alignment vertical="top"/>
      <protection locked="0"/>
    </xf>
    <xf numFmtId="3" fontId="19" fillId="3" borderId="58" xfId="0" applyNumberFormat="1" applyFont="1" applyFill="1" applyBorder="1" applyAlignment="1" applyProtection="1">
      <alignment horizontal="right" vertical="top"/>
      <protection locked="0"/>
    </xf>
    <xf numFmtId="3" fontId="18" fillId="0" borderId="66" xfId="0" applyNumberFormat="1" applyFont="1" applyBorder="1" applyAlignment="1" applyProtection="1">
      <alignment vertical="top"/>
      <protection locked="0"/>
    </xf>
    <xf numFmtId="3" fontId="19" fillId="0" borderId="59" xfId="0" applyNumberFormat="1" applyFont="1" applyFill="1" applyBorder="1" applyAlignment="1" applyProtection="1">
      <alignment vertical="top" wrapText="1"/>
      <protection locked="0"/>
    </xf>
    <xf numFmtId="3" fontId="18" fillId="0" borderId="11" xfId="0" applyNumberFormat="1" applyFont="1" applyBorder="1" applyAlignment="1" applyProtection="1">
      <alignment vertical="top"/>
      <protection locked="0"/>
    </xf>
    <xf numFmtId="0" fontId="19" fillId="0" borderId="3" xfId="0" applyFont="1" applyBorder="1" applyAlignment="1" applyProtection="1">
      <alignment vertical="top" wrapText="1"/>
      <protection locked="0"/>
    </xf>
    <xf numFmtId="0" fontId="29" fillId="0" borderId="0" xfId="4" applyFont="1" applyFill="1" applyProtection="1">
      <protection locked="0"/>
    </xf>
    <xf numFmtId="0" fontId="29" fillId="0" borderId="0" xfId="4" applyFont="1" applyFill="1" applyAlignment="1" applyProtection="1">
      <alignment wrapText="1"/>
      <protection locked="0"/>
    </xf>
    <xf numFmtId="0" fontId="30" fillId="3" borderId="45" xfId="4" applyFont="1" applyFill="1" applyBorder="1" applyAlignment="1" applyProtection="1">
      <alignment vertical="top" wrapText="1"/>
      <protection locked="0"/>
    </xf>
    <xf numFmtId="0" fontId="30" fillId="3" borderId="44" xfId="4" applyFont="1" applyFill="1" applyBorder="1" applyAlignment="1" applyProtection="1">
      <alignment vertical="top" wrapText="1"/>
      <protection locked="0"/>
    </xf>
    <xf numFmtId="0" fontId="18" fillId="3" borderId="1"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0" fontId="18" fillId="0" borderId="8" xfId="0" applyFont="1" applyBorder="1" applyAlignment="1" applyProtection="1">
      <alignment vertical="center"/>
      <protection locked="0"/>
    </xf>
    <xf numFmtId="3" fontId="15" fillId="0" borderId="2" xfId="0" applyNumberFormat="1" applyFont="1" applyBorder="1" applyAlignment="1" applyProtection="1">
      <alignment vertical="top"/>
      <protection locked="0"/>
    </xf>
    <xf numFmtId="3" fontId="15" fillId="0" borderId="8" xfId="0" applyNumberFormat="1" applyFont="1" applyBorder="1" applyAlignment="1" applyProtection="1">
      <alignment vertical="top"/>
      <protection locked="0"/>
    </xf>
    <xf numFmtId="3" fontId="15" fillId="0" borderId="8" xfId="0" applyNumberFormat="1" applyFont="1" applyFill="1" applyBorder="1" applyAlignment="1" applyProtection="1">
      <alignment vertical="top"/>
      <protection locked="0"/>
    </xf>
    <xf numFmtId="3" fontId="19" fillId="0" borderId="9" xfId="0" applyNumberFormat="1" applyFont="1" applyFill="1" applyBorder="1" applyAlignment="1" applyProtection="1">
      <alignment vertical="top"/>
      <protection locked="0"/>
    </xf>
    <xf numFmtId="3" fontId="16" fillId="0" borderId="0" xfId="0" applyNumberFormat="1" applyFont="1" applyProtection="1">
      <protection locked="0"/>
    </xf>
    <xf numFmtId="3" fontId="15" fillId="0" borderId="3" xfId="0" applyNumberFormat="1" applyFont="1" applyBorder="1" applyProtection="1">
      <protection locked="0"/>
    </xf>
    <xf numFmtId="0" fontId="32" fillId="5" borderId="2" xfId="0" applyFont="1" applyFill="1" applyBorder="1" applyAlignment="1" applyProtection="1">
      <alignment vertical="center" wrapText="1"/>
      <protection locked="0"/>
    </xf>
    <xf numFmtId="0" fontId="31" fillId="5" borderId="2" xfId="0" applyFont="1" applyFill="1" applyBorder="1" applyAlignment="1" applyProtection="1">
      <alignment vertical="center"/>
      <protection locked="0"/>
    </xf>
    <xf numFmtId="0" fontId="33" fillId="0" borderId="0" xfId="0" applyFont="1" applyAlignment="1" applyProtection="1">
      <alignment vertical="top"/>
      <protection locked="0"/>
    </xf>
    <xf numFmtId="0" fontId="33" fillId="0" borderId="0" xfId="0" applyFont="1" applyAlignment="1" applyProtection="1">
      <alignment vertical="center"/>
      <protection locked="0"/>
    </xf>
    <xf numFmtId="0" fontId="31" fillId="5" borderId="2" xfId="0" applyFont="1" applyFill="1" applyBorder="1" applyAlignment="1" applyProtection="1">
      <alignment vertical="top"/>
      <protection locked="0"/>
    </xf>
    <xf numFmtId="0" fontId="32" fillId="0" borderId="0" xfId="0" applyFont="1" applyAlignment="1" applyProtection="1">
      <alignment horizontal="left" vertical="center"/>
      <protection locked="0"/>
    </xf>
    <xf numFmtId="0" fontId="32" fillId="0" borderId="0" xfId="0" applyFont="1" applyAlignment="1" applyProtection="1">
      <alignment vertical="top"/>
      <protection locked="0"/>
    </xf>
    <xf numFmtId="0" fontId="32" fillId="0" borderId="0" xfId="0" applyFont="1" applyAlignment="1" applyProtection="1">
      <alignment vertical="center"/>
      <protection locked="0"/>
    </xf>
    <xf numFmtId="0" fontId="31" fillId="0" borderId="1" xfId="0" applyFont="1" applyBorder="1" applyAlignment="1" applyProtection="1">
      <alignment vertical="top"/>
      <protection locked="0"/>
    </xf>
    <xf numFmtId="0" fontId="31" fillId="0" borderId="7" xfId="0" applyFont="1" applyBorder="1" applyAlignment="1" applyProtection="1">
      <alignment vertical="top"/>
      <protection locked="0"/>
    </xf>
    <xf numFmtId="3" fontId="31" fillId="0" borderId="1" xfId="0" applyNumberFormat="1" applyFont="1" applyBorder="1" applyAlignment="1" applyProtection="1">
      <alignment vertical="top"/>
      <protection locked="0"/>
    </xf>
    <xf numFmtId="3" fontId="31" fillId="0" borderId="7" xfId="0" applyNumberFormat="1" applyFont="1" applyBorder="1" applyAlignment="1" applyProtection="1">
      <alignment vertical="top"/>
      <protection locked="0"/>
    </xf>
    <xf numFmtId="3" fontId="31" fillId="0" borderId="7" xfId="0" applyNumberFormat="1" applyFont="1" applyFill="1" applyBorder="1" applyAlignment="1" applyProtection="1">
      <alignment vertical="top"/>
      <protection locked="0"/>
    </xf>
    <xf numFmtId="9" fontId="32" fillId="0" borderId="2" xfId="1" applyFont="1" applyBorder="1" applyAlignment="1" applyProtection="1">
      <alignment vertical="top"/>
      <protection locked="0"/>
    </xf>
    <xf numFmtId="0" fontId="31" fillId="0" borderId="2" xfId="0" applyFont="1" applyBorder="1" applyAlignment="1" applyProtection="1">
      <alignment vertical="top"/>
      <protection locked="0"/>
    </xf>
    <xf numFmtId="0" fontId="31" fillId="0" borderId="8" xfId="0" applyFont="1" applyBorder="1" applyAlignment="1" applyProtection="1">
      <alignment vertical="top"/>
      <protection locked="0"/>
    </xf>
    <xf numFmtId="3" fontId="31" fillId="0" borderId="2" xfId="0" applyNumberFormat="1" applyFont="1" applyBorder="1" applyAlignment="1" applyProtection="1">
      <alignment vertical="top"/>
      <protection locked="0"/>
    </xf>
    <xf numFmtId="3" fontId="31" fillId="0" borderId="8" xfId="0" applyNumberFormat="1" applyFont="1" applyBorder="1" applyAlignment="1" applyProtection="1">
      <alignment vertical="top"/>
      <protection locked="0"/>
    </xf>
    <xf numFmtId="3" fontId="31" fillId="0" borderId="8" xfId="0" applyNumberFormat="1" applyFont="1" applyFill="1" applyBorder="1" applyAlignment="1" applyProtection="1">
      <alignment vertical="top"/>
      <protection locked="0"/>
    </xf>
    <xf numFmtId="0" fontId="34" fillId="2" borderId="2" xfId="0" applyFont="1" applyFill="1" applyBorder="1" applyAlignment="1" applyProtection="1">
      <alignment horizontal="right" vertical="top"/>
      <protection locked="0"/>
    </xf>
    <xf numFmtId="0" fontId="34" fillId="2" borderId="8" xfId="0" applyFont="1" applyFill="1" applyBorder="1" applyAlignment="1" applyProtection="1">
      <alignment horizontal="right" vertical="top"/>
      <protection locked="0"/>
    </xf>
    <xf numFmtId="3" fontId="34" fillId="2" borderId="2" xfId="0" applyNumberFormat="1" applyFont="1" applyFill="1" applyBorder="1" applyAlignment="1" applyProtection="1">
      <alignment vertical="top"/>
      <protection locked="0"/>
    </xf>
    <xf numFmtId="3" fontId="34" fillId="2" borderId="8" xfId="0" applyNumberFormat="1" applyFont="1" applyFill="1" applyBorder="1" applyAlignment="1" applyProtection="1">
      <alignment vertical="top"/>
      <protection locked="0"/>
    </xf>
    <xf numFmtId="0" fontId="34" fillId="2" borderId="4" xfId="0" applyFont="1" applyFill="1" applyBorder="1" applyAlignment="1" applyProtection="1">
      <alignment horizontal="right" vertical="top"/>
      <protection locked="0"/>
    </xf>
    <xf numFmtId="0" fontId="34" fillId="2" borderId="9" xfId="0" applyFont="1" applyFill="1" applyBorder="1" applyAlignment="1" applyProtection="1">
      <alignment horizontal="right" vertical="top"/>
      <protection locked="0"/>
    </xf>
    <xf numFmtId="3" fontId="36" fillId="2" borderId="4" xfId="0" applyNumberFormat="1" applyFont="1" applyFill="1" applyBorder="1" applyAlignment="1" applyProtection="1">
      <alignment vertical="top"/>
      <protection locked="0"/>
    </xf>
    <xf numFmtId="3" fontId="36" fillId="2" borderId="9" xfId="0" applyNumberFormat="1" applyFont="1" applyFill="1" applyBorder="1" applyAlignment="1" applyProtection="1">
      <alignment vertical="top"/>
      <protection locked="0"/>
    </xf>
    <xf numFmtId="0" fontId="34" fillId="2" borderId="3" xfId="0" applyFont="1" applyFill="1" applyBorder="1" applyAlignment="1" applyProtection="1">
      <alignment horizontal="right" vertical="top"/>
      <protection locked="0"/>
    </xf>
    <xf numFmtId="0" fontId="33" fillId="2" borderId="23" xfId="0" applyFont="1" applyFill="1" applyBorder="1" applyAlignment="1" applyProtection="1">
      <alignment vertical="top"/>
      <protection locked="0"/>
    </xf>
    <xf numFmtId="3" fontId="36" fillId="2" borderId="3" xfId="0" applyNumberFormat="1" applyFont="1" applyFill="1" applyBorder="1" applyAlignment="1" applyProtection="1">
      <alignment vertical="top"/>
      <protection locked="0"/>
    </xf>
    <xf numFmtId="3" fontId="36" fillId="2" borderId="23" xfId="0" applyNumberFormat="1" applyFont="1" applyFill="1" applyBorder="1" applyAlignment="1" applyProtection="1">
      <alignment vertical="top"/>
      <protection locked="0"/>
    </xf>
    <xf numFmtId="0" fontId="33" fillId="0" borderId="0" xfId="0" applyFont="1" applyBorder="1" applyAlignment="1" applyProtection="1">
      <alignment vertical="top"/>
      <protection locked="0"/>
    </xf>
    <xf numFmtId="0" fontId="18" fillId="0" borderId="67" xfId="0" applyFont="1" applyFill="1" applyBorder="1" applyAlignment="1" applyProtection="1">
      <alignment vertical="top" wrapText="1"/>
      <protection locked="0"/>
    </xf>
    <xf numFmtId="0" fontId="18" fillId="0" borderId="73" xfId="0" applyFont="1" applyFill="1" applyBorder="1" applyAlignment="1" applyProtection="1">
      <alignment vertical="top" wrapText="1"/>
      <protection locked="0"/>
    </xf>
    <xf numFmtId="3" fontId="18" fillId="0" borderId="74" xfId="0" applyNumberFormat="1" applyFont="1" applyFill="1" applyBorder="1" applyAlignment="1" applyProtection="1">
      <alignment vertical="top" wrapText="1"/>
      <protection locked="0"/>
    </xf>
    <xf numFmtId="3" fontId="18" fillId="0" borderId="75" xfId="0" applyNumberFormat="1" applyFont="1" applyFill="1" applyBorder="1" applyAlignment="1" applyProtection="1">
      <alignment vertical="top" wrapText="1"/>
      <protection locked="0"/>
    </xf>
    <xf numFmtId="3" fontId="18" fillId="0" borderId="69" xfId="0" applyNumberFormat="1" applyFont="1" applyFill="1" applyBorder="1" applyAlignment="1" applyProtection="1">
      <alignment vertical="top" wrapText="1"/>
      <protection locked="0"/>
    </xf>
    <xf numFmtId="3" fontId="19" fillId="3" borderId="40" xfId="0" applyNumberFormat="1" applyFont="1" applyFill="1" applyBorder="1" applyAlignment="1" applyProtection="1">
      <alignment vertical="top" wrapText="1"/>
      <protection locked="0"/>
    </xf>
    <xf numFmtId="3" fontId="19" fillId="3" borderId="38" xfId="0" applyNumberFormat="1" applyFont="1" applyFill="1" applyBorder="1" applyAlignment="1" applyProtection="1">
      <alignment vertical="top" wrapText="1"/>
      <protection locked="0"/>
    </xf>
    <xf numFmtId="3" fontId="19" fillId="3" borderId="58" xfId="0" applyNumberFormat="1" applyFont="1" applyFill="1" applyBorder="1" applyAlignment="1" applyProtection="1">
      <alignment vertical="top" wrapText="1"/>
      <protection locked="0"/>
    </xf>
    <xf numFmtId="3" fontId="19" fillId="3" borderId="51" xfId="0" applyNumberFormat="1" applyFont="1" applyFill="1" applyBorder="1" applyAlignment="1" applyProtection="1">
      <alignment vertical="top" wrapText="1"/>
      <protection locked="0"/>
    </xf>
    <xf numFmtId="3" fontId="19" fillId="3" borderId="72" xfId="0" applyNumberFormat="1" applyFont="1" applyFill="1" applyBorder="1" applyAlignment="1" applyProtection="1">
      <alignment vertical="top" wrapText="1"/>
      <protection locked="0"/>
    </xf>
    <xf numFmtId="0" fontId="19" fillId="0" borderId="68" xfId="0" applyFont="1" applyBorder="1" applyAlignment="1" applyProtection="1">
      <alignment vertical="top" wrapText="1"/>
      <protection locked="0"/>
    </xf>
    <xf numFmtId="164" fontId="19" fillId="3" borderId="51" xfId="1" applyNumberFormat="1" applyFont="1" applyFill="1" applyBorder="1" applyAlignment="1" applyProtection="1">
      <alignment vertical="top" wrapText="1"/>
      <protection locked="0"/>
    </xf>
    <xf numFmtId="164" fontId="19" fillId="3" borderId="72" xfId="1" applyNumberFormat="1" applyFont="1" applyFill="1" applyBorder="1" applyAlignment="1" applyProtection="1">
      <alignment vertical="top" wrapText="1"/>
      <protection locked="0"/>
    </xf>
    <xf numFmtId="164" fontId="19" fillId="3" borderId="69" xfId="1" applyNumberFormat="1" applyFont="1" applyFill="1" applyBorder="1" applyAlignment="1" applyProtection="1">
      <alignment vertical="top" wrapText="1"/>
      <protection locked="0"/>
    </xf>
    <xf numFmtId="0" fontId="19" fillId="4" borderId="34" xfId="0" applyFont="1" applyFill="1" applyBorder="1" applyAlignment="1" applyProtection="1">
      <alignment vertical="center" wrapText="1"/>
      <protection locked="0"/>
    </xf>
    <xf numFmtId="0" fontId="18" fillId="0" borderId="39" xfId="0" applyFont="1" applyFill="1" applyBorder="1" applyAlignment="1" applyProtection="1">
      <alignment vertical="top" wrapText="1"/>
      <protection locked="0"/>
    </xf>
    <xf numFmtId="0" fontId="19" fillId="11" borderId="15" xfId="0" applyFont="1" applyFill="1" applyBorder="1" applyAlignment="1" applyProtection="1">
      <alignment vertical="top" wrapText="1"/>
      <protection locked="0"/>
    </xf>
    <xf numFmtId="3" fontId="19" fillId="0" borderId="15" xfId="0" applyNumberFormat="1" applyFont="1" applyFill="1" applyBorder="1" applyAlignment="1" applyProtection="1">
      <alignment vertical="top"/>
    </xf>
    <xf numFmtId="10" fontId="19" fillId="11" borderId="15" xfId="1" applyNumberFormat="1" applyFont="1" applyFill="1" applyBorder="1" applyAlignment="1" applyProtection="1">
      <alignment vertical="top" wrapText="1"/>
    </xf>
    <xf numFmtId="164" fontId="18" fillId="11" borderId="15" xfId="1" applyNumberFormat="1" applyFont="1" applyFill="1" applyBorder="1" applyAlignment="1" applyProtection="1">
      <alignment vertical="top" wrapText="1"/>
    </xf>
    <xf numFmtId="3" fontId="18" fillId="11" borderId="15" xfId="0" applyNumberFormat="1" applyFont="1" applyFill="1" applyBorder="1" applyAlignment="1" applyProtection="1">
      <alignment vertical="top" wrapText="1"/>
      <protection locked="0"/>
    </xf>
    <xf numFmtId="164" fontId="19" fillId="11" borderId="15" xfId="1" applyNumberFormat="1" applyFont="1" applyFill="1" applyBorder="1" applyAlignment="1" applyProtection="1">
      <alignment horizontal="right" vertical="top"/>
      <protection locked="0"/>
    </xf>
    <xf numFmtId="3" fontId="18" fillId="11" borderId="27" xfId="0" applyNumberFormat="1" applyFont="1" applyFill="1" applyBorder="1" applyAlignment="1" applyProtection="1">
      <alignment vertical="top" wrapText="1"/>
      <protection locked="0"/>
    </xf>
    <xf numFmtId="0" fontId="18" fillId="0" borderId="16" xfId="0" applyFont="1" applyBorder="1" applyAlignment="1" applyProtection="1">
      <alignment vertical="top" wrapText="1"/>
      <protection locked="0"/>
    </xf>
    <xf numFmtId="0" fontId="18" fillId="0" borderId="39" xfId="0" applyFont="1" applyBorder="1" applyAlignment="1" applyProtection="1">
      <alignment horizontal="left" vertical="top" textRotation="90" wrapText="1"/>
      <protection locked="0"/>
    </xf>
    <xf numFmtId="0" fontId="19" fillId="0" borderId="52" xfId="0" applyFont="1" applyBorder="1" applyAlignment="1" applyProtection="1">
      <alignment vertical="top"/>
      <protection locked="0"/>
    </xf>
    <xf numFmtId="9" fontId="19" fillId="3" borderId="17" xfId="1" applyFont="1" applyFill="1" applyBorder="1" applyAlignment="1" applyProtection="1">
      <alignment vertical="top"/>
      <protection locked="0"/>
    </xf>
    <xf numFmtId="9" fontId="19" fillId="3" borderId="29" xfId="1" applyFont="1" applyFill="1" applyBorder="1" applyAlignment="1" applyProtection="1">
      <alignment vertical="top"/>
      <protection locked="0"/>
    </xf>
    <xf numFmtId="9" fontId="19" fillId="3" borderId="30" xfId="1" applyFont="1" applyFill="1" applyBorder="1" applyAlignment="1" applyProtection="1">
      <alignment vertical="top"/>
      <protection locked="0"/>
    </xf>
    <xf numFmtId="3" fontId="19" fillId="0" borderId="30" xfId="0" applyNumberFormat="1" applyFont="1" applyFill="1" applyBorder="1" applyAlignment="1" applyProtection="1">
      <alignment vertical="top"/>
      <protection locked="0"/>
    </xf>
    <xf numFmtId="3" fontId="19" fillId="0" borderId="15" xfId="0" applyNumberFormat="1" applyFont="1" applyFill="1" applyBorder="1" applyAlignment="1" applyProtection="1">
      <alignment vertical="top"/>
      <protection locked="0"/>
    </xf>
    <xf numFmtId="3" fontId="18" fillId="11" borderId="27" xfId="0" applyNumberFormat="1" applyFont="1" applyFill="1" applyBorder="1" applyAlignment="1" applyProtection="1">
      <alignment vertical="top"/>
      <protection locked="0"/>
    </xf>
    <xf numFmtId="164" fontId="19" fillId="11" borderId="52" xfId="1" applyNumberFormat="1" applyFont="1" applyFill="1" applyBorder="1" applyAlignment="1" applyProtection="1">
      <alignment vertical="top" wrapText="1"/>
    </xf>
    <xf numFmtId="164" fontId="18" fillId="11" borderId="53" xfId="1" applyNumberFormat="1" applyFont="1" applyFill="1" applyBorder="1" applyAlignment="1" applyProtection="1">
      <alignment vertical="top"/>
    </xf>
    <xf numFmtId="0" fontId="19" fillId="0" borderId="68" xfId="0" applyFont="1" applyFill="1" applyBorder="1" applyAlignment="1" applyProtection="1">
      <alignment vertical="top" wrapText="1"/>
      <protection locked="0"/>
    </xf>
    <xf numFmtId="0" fontId="18" fillId="0" borderId="76" xfId="0" applyFont="1" applyFill="1" applyBorder="1" applyAlignment="1" applyProtection="1">
      <alignment vertical="top" wrapText="1"/>
      <protection locked="0"/>
    </xf>
    <xf numFmtId="164" fontId="19" fillId="11" borderId="11" xfId="1" applyNumberFormat="1" applyFont="1" applyFill="1" applyBorder="1" applyAlignment="1" applyProtection="1">
      <alignment vertical="top" wrapText="1"/>
    </xf>
    <xf numFmtId="9" fontId="19" fillId="0" borderId="29" xfId="1" applyFont="1" applyBorder="1" applyAlignment="1" applyProtection="1">
      <alignment vertical="top" wrapText="1"/>
      <protection locked="0"/>
    </xf>
    <xf numFmtId="9" fontId="19" fillId="0" borderId="59" xfId="1" applyFont="1" applyBorder="1" applyAlignment="1" applyProtection="1">
      <alignment vertical="top" wrapText="1"/>
      <protection locked="0"/>
    </xf>
    <xf numFmtId="0" fontId="18" fillId="0" borderId="12" xfId="0" applyFont="1" applyFill="1" applyBorder="1" applyAlignment="1" applyProtection="1">
      <alignment vertical="top" wrapText="1"/>
      <protection locked="0"/>
    </xf>
    <xf numFmtId="9" fontId="18" fillId="11" borderId="11" xfId="1" applyFont="1" applyFill="1" applyBorder="1" applyAlignment="1" applyProtection="1">
      <alignment vertical="top"/>
      <protection locked="0"/>
    </xf>
    <xf numFmtId="0" fontId="19" fillId="0" borderId="51" xfId="0" applyFont="1" applyFill="1" applyBorder="1" applyAlignment="1" applyProtection="1">
      <alignment vertical="top" wrapText="1"/>
      <protection locked="0"/>
    </xf>
    <xf numFmtId="0" fontId="19" fillId="0" borderId="72" xfId="0" applyFont="1" applyFill="1" applyBorder="1" applyAlignment="1" applyProtection="1">
      <alignment vertical="top" wrapText="1"/>
      <protection locked="0"/>
    </xf>
    <xf numFmtId="0" fontId="19" fillId="0" borderId="70" xfId="0" applyFont="1" applyFill="1" applyBorder="1" applyAlignment="1" applyProtection="1">
      <alignment vertical="top" wrapText="1"/>
      <protection locked="0"/>
    </xf>
    <xf numFmtId="0" fontId="18" fillId="0" borderId="3" xfId="0" applyFont="1" applyFill="1" applyBorder="1" applyAlignment="1" applyProtection="1">
      <alignment vertical="top" wrapText="1"/>
      <protection locked="0"/>
    </xf>
    <xf numFmtId="0" fontId="18" fillId="0" borderId="31" xfId="0" applyFont="1" applyBorder="1" applyAlignment="1" applyProtection="1">
      <alignment vertical="top" wrapText="1"/>
      <protection locked="0"/>
    </xf>
    <xf numFmtId="3" fontId="18" fillId="3" borderId="45" xfId="0" applyNumberFormat="1" applyFont="1" applyFill="1" applyBorder="1" applyAlignment="1" applyProtection="1">
      <alignment vertical="top"/>
      <protection locked="0"/>
    </xf>
    <xf numFmtId="9" fontId="18" fillId="0" borderId="52" xfId="1" applyFont="1" applyFill="1" applyBorder="1" applyAlignment="1" applyProtection="1">
      <alignment vertical="top" wrapText="1"/>
    </xf>
    <xf numFmtId="0" fontId="26" fillId="0" borderId="57" xfId="0" applyFont="1" applyBorder="1" applyAlignment="1">
      <alignment vertical="top"/>
    </xf>
    <xf numFmtId="0" fontId="16" fillId="0" borderId="4" xfId="0" applyFont="1" applyBorder="1" applyAlignment="1">
      <alignment vertical="top"/>
    </xf>
    <xf numFmtId="0" fontId="16" fillId="0" borderId="77" xfId="0" applyFont="1" applyBorder="1" applyAlignment="1">
      <alignment vertical="top"/>
    </xf>
    <xf numFmtId="0" fontId="26" fillId="0" borderId="4" xfId="0" applyFont="1" applyBorder="1" applyAlignment="1">
      <alignment vertical="top"/>
    </xf>
    <xf numFmtId="0" fontId="16" fillId="0" borderId="9" xfId="0" applyFont="1" applyBorder="1" applyAlignment="1">
      <alignment vertical="top"/>
    </xf>
    <xf numFmtId="0" fontId="15" fillId="0" borderId="41" xfId="0" applyFont="1" applyBorder="1" applyAlignment="1">
      <alignment vertical="top"/>
    </xf>
    <xf numFmtId="0" fontId="16" fillId="0" borderId="0" xfId="0" applyFont="1" applyBorder="1" applyAlignment="1">
      <alignment vertical="top"/>
    </xf>
    <xf numFmtId="0" fontId="15" fillId="0" borderId="78" xfId="0" applyFont="1" applyBorder="1" applyAlignment="1">
      <alignment vertical="top"/>
    </xf>
    <xf numFmtId="0" fontId="37" fillId="0" borderId="0" xfId="0" applyFont="1" applyBorder="1" applyAlignment="1">
      <alignment horizontal="left" vertical="top"/>
    </xf>
    <xf numFmtId="0" fontId="16" fillId="0" borderId="41" xfId="0" applyFont="1" applyBorder="1" applyAlignment="1">
      <alignment vertical="top"/>
    </xf>
    <xf numFmtId="0" fontId="30" fillId="3" borderId="79" xfId="4" applyFont="1" applyFill="1" applyBorder="1" applyAlignment="1" applyProtection="1">
      <alignment vertical="top" wrapText="1"/>
      <protection locked="0"/>
    </xf>
    <xf numFmtId="0" fontId="16" fillId="0" borderId="1" xfId="0" applyFont="1" applyBorder="1" applyAlignment="1">
      <alignment vertical="top"/>
    </xf>
    <xf numFmtId="9" fontId="19" fillId="0" borderId="29" xfId="1" applyNumberFormat="1" applyFont="1" applyFill="1" applyBorder="1" applyAlignment="1" applyProtection="1">
      <alignment vertical="top" wrapText="1"/>
      <protection locked="0"/>
    </xf>
    <xf numFmtId="3" fontId="19" fillId="3" borderId="59" xfId="0" applyNumberFormat="1" applyFont="1" applyFill="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9" fillId="4" borderId="34" xfId="0" applyFont="1" applyFill="1" applyBorder="1" applyProtection="1">
      <protection locked="0"/>
    </xf>
    <xf numFmtId="0" fontId="15" fillId="0" borderId="60" xfId="0" applyFont="1" applyFill="1" applyBorder="1" applyAlignment="1" applyProtection="1">
      <alignment horizontal="left" vertical="center"/>
      <protection locked="0"/>
    </xf>
    <xf numFmtId="3" fontId="19" fillId="3" borderId="0" xfId="0" applyNumberFormat="1" applyFont="1" applyFill="1" applyBorder="1" applyAlignment="1" applyProtection="1">
      <alignment vertical="top" wrapText="1"/>
      <protection locked="0"/>
    </xf>
    <xf numFmtId="3" fontId="15" fillId="0" borderId="2" xfId="0" applyNumberFormat="1" applyFont="1" applyFill="1" applyBorder="1" applyAlignment="1" applyProtection="1">
      <alignment vertical="top" wrapText="1"/>
      <protection locked="0"/>
    </xf>
    <xf numFmtId="0" fontId="16" fillId="0" borderId="0" xfId="0" applyFont="1" applyBorder="1" applyAlignment="1" applyProtection="1">
      <alignment wrapText="1"/>
      <protection locked="0"/>
    </xf>
    <xf numFmtId="0" fontId="16" fillId="0" borderId="0" xfId="0" applyFont="1" applyAlignment="1" applyProtection="1">
      <alignment wrapText="1"/>
      <protection locked="0"/>
    </xf>
    <xf numFmtId="0" fontId="18" fillId="0" borderId="1" xfId="0" applyFont="1" applyBorder="1" applyAlignment="1" applyProtection="1">
      <alignment vertical="center" wrapText="1"/>
      <protection locked="0"/>
    </xf>
    <xf numFmtId="3" fontId="19" fillId="0" borderId="0" xfId="0" applyNumberFormat="1" applyFont="1" applyFill="1" applyBorder="1" applyAlignment="1" applyProtection="1">
      <alignment vertical="top" wrapText="1"/>
      <protection locked="0"/>
    </xf>
    <xf numFmtId="3" fontId="15" fillId="0" borderId="2" xfId="0" applyNumberFormat="1" applyFont="1" applyFill="1" applyBorder="1" applyAlignment="1" applyProtection="1">
      <alignment vertical="center" wrapText="1"/>
      <protection locked="0"/>
    </xf>
    <xf numFmtId="0" fontId="32" fillId="0" borderId="0" xfId="0" applyFont="1" applyBorder="1" applyAlignment="1" applyProtection="1">
      <alignment vertical="top" wrapText="1"/>
      <protection locked="0"/>
    </xf>
    <xf numFmtId="0" fontId="2" fillId="0" borderId="0" xfId="0" applyFont="1" applyAlignment="1" applyProtection="1">
      <alignment wrapText="1"/>
      <protection locked="0"/>
    </xf>
    <xf numFmtId="3" fontId="19" fillId="0" borderId="0" xfId="0" applyNumberFormat="1" applyFont="1" applyFill="1" applyAlignment="1" applyProtection="1">
      <alignment vertical="top"/>
      <protection locked="0"/>
    </xf>
    <xf numFmtId="0" fontId="16" fillId="0" borderId="2" xfId="0" applyFont="1" applyFill="1" applyBorder="1" applyAlignment="1" applyProtection="1">
      <alignment vertical="top" wrapText="1"/>
      <protection locked="0"/>
    </xf>
    <xf numFmtId="0" fontId="18" fillId="0" borderId="8" xfId="0" applyFont="1" applyBorder="1" applyAlignment="1" applyProtection="1">
      <alignment vertical="top" wrapText="1"/>
      <protection locked="0"/>
    </xf>
    <xf numFmtId="0" fontId="18" fillId="0" borderId="0" xfId="0" quotePrefix="1" applyFont="1" applyFill="1" applyBorder="1" applyAlignment="1" applyProtection="1">
      <alignment horizontal="left" vertical="top" wrapText="1"/>
      <protection locked="0"/>
    </xf>
    <xf numFmtId="0" fontId="19" fillId="0" borderId="6" xfId="0" applyFont="1" applyFill="1" applyBorder="1" applyAlignment="1" applyProtection="1">
      <alignment horizontal="left" vertical="center" indent="1"/>
      <protection locked="0"/>
    </xf>
    <xf numFmtId="3" fontId="19" fillId="0" borderId="0" xfId="0" applyNumberFormat="1" applyFont="1" applyFill="1" applyBorder="1" applyAlignment="1" applyProtection="1">
      <alignment vertical="top"/>
      <protection locked="0"/>
    </xf>
    <xf numFmtId="3" fontId="19" fillId="3" borderId="57" xfId="0" applyNumberFormat="1" applyFont="1" applyFill="1" applyBorder="1" applyAlignment="1" applyProtection="1">
      <alignment vertical="top"/>
      <protection locked="0"/>
    </xf>
    <xf numFmtId="3" fontId="19" fillId="3" borderId="4" xfId="0" applyNumberFormat="1" applyFont="1" applyFill="1" applyBorder="1" applyAlignment="1" applyProtection="1">
      <alignment vertical="top"/>
      <protection locked="0"/>
    </xf>
    <xf numFmtId="3" fontId="19" fillId="3" borderId="9" xfId="0" applyNumberFormat="1" applyFont="1" applyFill="1" applyBorder="1" applyAlignment="1" applyProtection="1">
      <alignment vertical="top"/>
      <protection locked="0"/>
    </xf>
    <xf numFmtId="3" fontId="19" fillId="3" borderId="41" xfId="0" applyNumberFormat="1" applyFont="1" applyFill="1" applyBorder="1" applyAlignment="1" applyProtection="1">
      <alignment vertical="top"/>
      <protection locked="0"/>
    </xf>
    <xf numFmtId="0" fontId="16" fillId="5" borderId="2" xfId="0" applyFont="1" applyFill="1" applyBorder="1" applyAlignment="1" applyProtection="1">
      <alignment vertical="center"/>
      <protection locked="0"/>
    </xf>
    <xf numFmtId="0" fontId="18" fillId="0" borderId="80" xfId="0" quotePrefix="1" applyFont="1" applyFill="1" applyBorder="1" applyAlignment="1" applyProtection="1">
      <alignment horizontal="left" vertical="top" wrapText="1"/>
      <protection locked="0"/>
    </xf>
    <xf numFmtId="0" fontId="18" fillId="0" borderId="4" xfId="0" quotePrefix="1" applyFont="1" applyFill="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2" xfId="0" quotePrefix="1" applyFont="1" applyFill="1" applyBorder="1" applyAlignment="1" applyProtection="1">
      <alignment horizontal="left" vertical="top" wrapText="1"/>
      <protection locked="0"/>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32" xfId="0" applyFont="1" applyFill="1" applyBorder="1" applyAlignment="1">
      <alignment horizontal="left" vertical="top" wrapText="1"/>
    </xf>
    <xf numFmtId="0" fontId="15" fillId="0" borderId="1" xfId="0" applyFont="1" applyFill="1" applyBorder="1" applyAlignment="1">
      <alignment horizontal="left" vertical="top" wrapText="1"/>
    </xf>
  </cellXfs>
  <cellStyles count="5">
    <cellStyle name="20 % - Akzent1" xfId="3" builtinId="30"/>
    <cellStyle name="Notiz" xfId="2" builtinId="10" customBuiltin="1"/>
    <cellStyle name="Prozent" xfId="1" builtinId="5"/>
    <cellStyle name="Standard" xfId="0" builtinId="0"/>
    <cellStyle name="Standard 2" xfId="4" xr:uid="{00000000-0005-0000-0000-000004000000}"/>
  </cellStyles>
  <dxfs count="51">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numFmt numFmtId="3" formatCode="#,##0"/>
      <fill>
        <patternFill patternType="none">
          <fgColor indexed="64"/>
          <bgColor indexed="65"/>
        </patternFill>
      </fill>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Arial Narrow"/>
        <scheme val="none"/>
      </font>
      <fill>
        <patternFill patternType="none">
          <fgColor indexed="64"/>
          <bgColor indexed="65"/>
        </patternFill>
      </fill>
    </dxf>
    <dxf>
      <font>
        <b/>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strike val="0"/>
        <outline val="0"/>
        <shadow val="0"/>
        <u val="none"/>
        <vertAlign val="baseline"/>
        <sz val="12"/>
        <name val="Arial Narrow"/>
        <scheme val="none"/>
      </font>
    </dxf>
    <dxf>
      <border outline="0">
        <right style="thin">
          <color indexed="64"/>
        </right>
        <top style="thin">
          <color indexed="64"/>
        </top>
      </border>
    </dxf>
    <dxf>
      <font>
        <strike val="0"/>
        <outline val="0"/>
        <shadow val="0"/>
        <u val="none"/>
        <vertAlign val="baseline"/>
        <sz val="12"/>
        <name val="Arial Narrow"/>
        <scheme val="none"/>
      </font>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color rgb="FFFF0000"/>
      </font>
      <fill>
        <patternFill patternType="solid">
          <bgColor theme="7" tint="0.79998168889431442"/>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ction" displayName="Production" ref="B27:B34" totalsRowShown="0" headerRowDxfId="47" dataDxfId="45" headerRowBorderDxfId="46" tableBorderDxfId="44" totalsRowBorderDxfId="43">
  <autoFilter ref="B27:B34" xr:uid="{00000000-0009-0000-0100-000001000000}"/>
  <tableColumns count="1">
    <tableColumn id="1" xr3:uid="{00000000-0010-0000-0000-000001000000}" name="Production"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formation" displayName="Transformation" ref="C27:C34" totalsRowShown="0" headerRowDxfId="41" dataDxfId="39" headerRowBorderDxfId="40" tableBorderDxfId="38" totalsRowBorderDxfId="37">
  <autoFilter ref="C27:C34" xr:uid="{00000000-0009-0000-0100-000002000000}"/>
  <tableColumns count="1">
    <tableColumn id="1" xr3:uid="{00000000-0010-0000-0100-000001000000}" name="Transformation" dataDxfId="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mercialisation" displayName="Commercialisation" ref="D27:D34" totalsRowShown="0" headerRowDxfId="35" dataDxfId="33" headerRowBorderDxfId="34" tableBorderDxfId="32" totalsRowBorderDxfId="31">
  <autoFilter ref="D27:D34" xr:uid="{00000000-0009-0000-0100-000003000000}"/>
  <tableColumns count="1">
    <tableColumn id="1" xr3:uid="{00000000-0010-0000-0200-000001000000}" name="Commercialisation" dataDxfId="3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réation_et_développement_d’activités_dans_l’exploitation_agricole" displayName="Création_et_développement_d’activités_dans_l’exploitation_agricole" ref="E27:E34" totalsRowShown="0" headerRowDxfId="29" dataDxfId="27" headerRowBorderDxfId="28" tableBorderDxfId="26" totalsRowBorderDxfId="25">
  <autoFilter ref="E27:E34" xr:uid="{00000000-0009-0000-0100-000004000000}"/>
  <tableColumns count="1">
    <tableColumn id="1" xr3:uid="{00000000-0010-0000-0300-000001000000}" name="Création_et_développement_d’activités_dans_l’exploitation_agricole"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utres" displayName="Autres" ref="F27:F34" totalsRowShown="0" headerRowDxfId="23" dataDxfId="21" headerRowBorderDxfId="22" tableBorderDxfId="20" totalsRowBorderDxfId="19">
  <autoFilter ref="F27:F34" xr:uid="{00000000-0009-0000-0100-000005000000}"/>
  <tableColumns count="1">
    <tableColumn id="1" xr3:uid="{00000000-0010-0000-0400-000001000000}" name="Autres"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électionner" displayName="sélectionner" ref="G27:G34" totalsRowShown="0" headerRowDxfId="17" dataDxfId="16">
  <autoFilter ref="G27:G34" xr:uid="{00000000-0009-0000-0100-000006000000}"/>
  <tableColumns count="1">
    <tableColumn id="1" xr3:uid="{00000000-0010-0000-0500-000001000000}" name="sélectionner"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Massnahme" displayName="Massnahme" ref="B6:B18" totalsRowShown="0" headerRowDxfId="14" dataDxfId="12" headerRowBorderDxfId="13" tableBorderDxfId="11">
  <autoFilter ref="B6:B18" xr:uid="{00000000-0009-0000-0100-00000A000000}"/>
  <tableColumns count="1">
    <tableColumn id="1" xr3:uid="{00000000-0010-0000-0600-000001000000}" name="Mesure" dataDxfId="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6:B53" totalsRowShown="0" headerRowDxfId="9" dataDxfId="8" tableBorderDxfId="7">
  <autoFilter ref="B46:B53" xr:uid="{00000000-0009-0000-0100-000007000000}"/>
  <tableColumns count="1">
    <tableColumn id="1" xr3:uid="{00000000-0010-0000-0700-000001000000}" name="Sources de financement"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5:B59" totalsRowShown="0" headerRowDxfId="5" dataDxfId="3" headerRowBorderDxfId="4" tableBorderDxfId="2" totalsRowBorderDxfId="1">
  <autoFilter ref="B55:B59" xr:uid="{00000000-0009-0000-0100-000008000000}"/>
  <tableColumns count="1">
    <tableColumn id="1" xr3:uid="{00000000-0010-0000-0800-000001000000}" name="Assuré?"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groscope.admin.ch/agroscope/de/home/themen/wirtschaft-technik/betriebswirtschaft/zabh/grundlagenbericht.html" TargetMode="External"/><Relationship Id="rId1" Type="http://schemas.openxmlformats.org/officeDocument/2006/relationships/hyperlink" Target="https://www.agroscope.admin.ch/agroscope/de/home/themen/wirtschaft-technik/betriebswirtschaft/zabh/grundlagenbericht.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AF68"/>
  <sheetViews>
    <sheetView showGridLines="0" tabSelected="1" zoomScale="85" zoomScaleNormal="85" zoomScaleSheetLayoutView="55" workbookViewId="0">
      <selection activeCell="A11" sqref="A11:I11"/>
    </sheetView>
  </sheetViews>
  <sheetFormatPr baseColWidth="10" defaultColWidth="10.58203125" defaultRowHeight="14" outlineLevelRow="1" outlineLevelCol="1" x14ac:dyDescent="0.3"/>
  <cols>
    <col min="1" max="1" width="63" style="3" customWidth="1"/>
    <col min="2" max="2" width="18.5" style="3" customWidth="1"/>
    <col min="3" max="3" width="16.33203125" style="3" customWidth="1"/>
    <col min="4" max="4" width="15.83203125" style="3" customWidth="1"/>
    <col min="5" max="9" width="13.08203125" style="3" customWidth="1" outlineLevel="1"/>
    <col min="10" max="10" width="17.75" style="3" customWidth="1"/>
    <col min="11" max="11" width="10.83203125" style="3" customWidth="1"/>
    <col min="12" max="12" width="27.5" style="520" customWidth="1"/>
    <col min="13" max="15" width="10" style="3" hidden="1" customWidth="1"/>
    <col min="16" max="16384" width="10.58203125" style="3"/>
  </cols>
  <sheetData>
    <row r="1" spans="1:32" s="253" customFormat="1" ht="23.5" customHeight="1" x14ac:dyDescent="0.3">
      <c r="A1" s="342" t="s">
        <v>332</v>
      </c>
      <c r="B1" s="251"/>
      <c r="C1" s="251"/>
      <c r="D1" s="251"/>
      <c r="E1" s="251"/>
      <c r="F1" s="251"/>
      <c r="G1" s="251"/>
      <c r="H1" s="251"/>
      <c r="I1" s="251"/>
      <c r="J1" s="251"/>
      <c r="K1" s="251"/>
      <c r="L1" s="252"/>
      <c r="M1" s="251"/>
      <c r="N1" s="251"/>
      <c r="O1" s="251"/>
      <c r="P1" s="251"/>
      <c r="Q1" s="251"/>
      <c r="R1" s="251"/>
      <c r="S1" s="251"/>
      <c r="T1" s="251"/>
      <c r="U1" s="251"/>
      <c r="V1" s="252"/>
      <c r="W1" s="251"/>
      <c r="X1" s="251"/>
      <c r="Y1" s="251"/>
      <c r="Z1" s="251"/>
      <c r="AA1" s="251"/>
      <c r="AB1" s="251"/>
      <c r="AC1" s="251"/>
    </row>
    <row r="2" spans="1:32" s="2" customFormat="1" ht="15.5" x14ac:dyDescent="0.3">
      <c r="A2" s="334" t="s">
        <v>288</v>
      </c>
      <c r="B2" s="265"/>
      <c r="C2" s="264" t="s">
        <v>289</v>
      </c>
      <c r="D2" s="266"/>
      <c r="I2" s="267"/>
      <c r="J2" s="267"/>
      <c r="K2" s="267"/>
      <c r="L2" s="267"/>
      <c r="M2" s="267"/>
      <c r="N2" s="267"/>
      <c r="U2" s="268"/>
      <c r="AB2" s="15"/>
      <c r="AC2" s="15"/>
      <c r="AD2" s="15"/>
      <c r="AE2" s="15"/>
      <c r="AF2" s="15"/>
    </row>
    <row r="3" spans="1:32" s="2" customFormat="1" ht="15.5" x14ac:dyDescent="0.3">
      <c r="A3" s="270" t="s">
        <v>290</v>
      </c>
      <c r="B3" s="370" t="s">
        <v>278</v>
      </c>
      <c r="C3" s="269" t="str">
        <f t="shared" ref="C3:C8" si="0">IF(B3="sélectionner","Sélection obligatoire pour la suite du calcul","")</f>
        <v>Sélection obligatoire pour la suite du calcul</v>
      </c>
      <c r="I3" s="267"/>
      <c r="J3" s="267"/>
      <c r="K3" s="267"/>
      <c r="L3" s="267"/>
      <c r="M3" s="267"/>
      <c r="N3" s="267"/>
      <c r="U3" s="268"/>
      <c r="AB3" s="15"/>
      <c r="AC3" s="15"/>
      <c r="AD3" s="15"/>
      <c r="AE3" s="15"/>
      <c r="AF3" s="15"/>
    </row>
    <row r="4" spans="1:32" s="2" customFormat="1" ht="15.5" x14ac:dyDescent="0.3">
      <c r="A4" s="270" t="s">
        <v>291</v>
      </c>
      <c r="B4" s="461" t="s">
        <v>278</v>
      </c>
      <c r="C4" s="269" t="str">
        <f t="shared" si="0"/>
        <v>Sélection obligatoire pour la suite du calcul</v>
      </c>
      <c r="J4" s="267"/>
      <c r="K4" s="267"/>
      <c r="L4" s="267"/>
      <c r="M4" s="267"/>
      <c r="N4" s="267"/>
      <c r="U4" s="268"/>
      <c r="AB4" s="15"/>
      <c r="AC4" s="15"/>
      <c r="AD4" s="15"/>
      <c r="AE4" s="15"/>
      <c r="AF4" s="15"/>
    </row>
    <row r="5" spans="1:32" s="2" customFormat="1" ht="15.5" x14ac:dyDescent="0.3">
      <c r="A5" s="270" t="s">
        <v>292</v>
      </c>
      <c r="B5" s="370" t="s">
        <v>425</v>
      </c>
      <c r="C5" s="269" t="str">
        <f t="shared" si="0"/>
        <v/>
      </c>
      <c r="I5" s="267"/>
      <c r="J5" s="267"/>
      <c r="K5" s="267"/>
      <c r="L5" s="267"/>
      <c r="M5" s="267"/>
      <c r="N5" s="267"/>
      <c r="U5" s="268"/>
      <c r="AB5" s="15"/>
      <c r="AC5" s="15"/>
      <c r="AD5" s="15"/>
      <c r="AE5" s="15"/>
      <c r="AF5" s="15"/>
    </row>
    <row r="6" spans="1:32" s="2" customFormat="1" ht="15.5" x14ac:dyDescent="0.3">
      <c r="A6" s="270" t="s">
        <v>293</v>
      </c>
      <c r="B6" s="370" t="s">
        <v>278</v>
      </c>
      <c r="C6" s="269" t="str">
        <f t="shared" si="0"/>
        <v>Sélection obligatoire pour la suite du calcul</v>
      </c>
      <c r="I6" s="267"/>
      <c r="J6" s="267"/>
      <c r="K6" s="267"/>
      <c r="L6" s="267"/>
      <c r="M6" s="267"/>
      <c r="N6" s="267"/>
      <c r="U6" s="268"/>
      <c r="AB6" s="15"/>
      <c r="AC6" s="15"/>
      <c r="AD6" s="15"/>
      <c r="AE6" s="15"/>
      <c r="AF6" s="15"/>
    </row>
    <row r="7" spans="1:32" s="2" customFormat="1" ht="15.5" x14ac:dyDescent="0.35">
      <c r="A7" s="509" t="s">
        <v>369</v>
      </c>
      <c r="B7" s="510" t="s">
        <v>278</v>
      </c>
      <c r="C7" s="269" t="str">
        <f t="shared" si="0"/>
        <v>Sélection obligatoire pour la suite du calcul</v>
      </c>
      <c r="I7" s="267"/>
      <c r="J7" s="267"/>
      <c r="K7" s="267"/>
      <c r="L7" s="267"/>
      <c r="M7" s="267"/>
      <c r="N7" s="267"/>
      <c r="U7" s="268"/>
      <c r="AB7" s="15"/>
      <c r="AC7" s="15"/>
      <c r="AD7" s="15"/>
      <c r="AE7" s="15"/>
      <c r="AF7" s="15"/>
    </row>
    <row r="8" spans="1:32" s="2" customFormat="1" ht="15.5" x14ac:dyDescent="0.3">
      <c r="A8" s="333" t="s">
        <v>294</v>
      </c>
      <c r="B8" s="371" t="s">
        <v>278</v>
      </c>
      <c r="C8" s="511" t="str">
        <f t="shared" si="0"/>
        <v>Sélection obligatoire pour la suite du calcul</v>
      </c>
      <c r="D8" s="271" t="s">
        <v>437</v>
      </c>
      <c r="E8" s="271"/>
      <c r="F8" s="271"/>
      <c r="G8" s="271"/>
      <c r="H8" s="271"/>
      <c r="I8" s="271"/>
      <c r="J8" s="271"/>
      <c r="K8" s="271"/>
      <c r="L8" s="271"/>
      <c r="M8" s="271"/>
      <c r="N8" s="271"/>
      <c r="O8" s="271"/>
      <c r="P8" s="271"/>
      <c r="Q8" s="271"/>
      <c r="R8" s="271"/>
      <c r="S8" s="271"/>
      <c r="T8" s="271"/>
      <c r="U8" s="272"/>
      <c r="V8" s="271"/>
      <c r="W8" s="271"/>
      <c r="X8" s="271"/>
      <c r="Y8" s="271"/>
      <c r="Z8" s="271"/>
      <c r="AA8" s="271"/>
      <c r="AB8" s="15"/>
      <c r="AC8" s="15"/>
      <c r="AD8" s="15"/>
      <c r="AE8" s="15"/>
      <c r="AF8" s="15"/>
    </row>
    <row r="9" spans="1:32" s="418" customFormat="1" ht="18" x14ac:dyDescent="0.3">
      <c r="A9" s="416" t="s">
        <v>295</v>
      </c>
      <c r="B9" s="415"/>
      <c r="C9" s="415"/>
      <c r="D9" s="415"/>
      <c r="E9" s="415"/>
      <c r="F9" s="415"/>
      <c r="G9" s="415"/>
      <c r="H9" s="415"/>
      <c r="I9" s="415"/>
      <c r="J9" s="416"/>
      <c r="K9" s="415"/>
      <c r="L9" s="415"/>
      <c r="M9" s="415"/>
      <c r="N9" s="420"/>
      <c r="O9" s="420"/>
      <c r="P9" s="421"/>
      <c r="Q9" s="421"/>
      <c r="R9" s="421"/>
      <c r="S9" s="421"/>
      <c r="T9" s="417"/>
      <c r="U9" s="417"/>
      <c r="V9" s="417"/>
      <c r="W9" s="417"/>
      <c r="X9" s="417"/>
      <c r="Y9" s="417"/>
      <c r="Z9" s="417"/>
      <c r="AA9" s="417"/>
      <c r="AB9" s="417"/>
      <c r="AC9" s="422"/>
      <c r="AD9" s="422"/>
      <c r="AE9" s="422"/>
      <c r="AF9" s="422"/>
    </row>
    <row r="10" spans="1:32" s="7" customFormat="1" ht="68" customHeight="1" outlineLevel="1" x14ac:dyDescent="0.3">
      <c r="A10" s="532" t="s">
        <v>438</v>
      </c>
      <c r="B10" s="533"/>
      <c r="C10" s="533"/>
      <c r="D10" s="533"/>
      <c r="E10" s="533"/>
      <c r="F10" s="533"/>
      <c r="G10" s="533"/>
      <c r="H10" s="533"/>
      <c r="I10" s="533"/>
      <c r="J10" s="533"/>
      <c r="K10" s="533"/>
      <c r="L10" s="524"/>
      <c r="M10" s="341"/>
      <c r="N10" s="341"/>
      <c r="O10" s="341"/>
      <c r="P10" s="9"/>
      <c r="Q10" s="9"/>
      <c r="R10" s="9"/>
      <c r="S10" s="9"/>
      <c r="T10" s="1"/>
      <c r="U10" s="1"/>
      <c r="V10" s="1"/>
      <c r="W10" s="1"/>
      <c r="X10" s="1"/>
      <c r="Y10" s="1"/>
      <c r="Z10" s="1"/>
      <c r="AA10" s="1"/>
      <c r="AB10" s="1"/>
    </row>
    <row r="11" spans="1:32" s="15" customFormat="1" ht="176.15" customHeight="1" outlineLevel="1" x14ac:dyDescent="0.3">
      <c r="A11" s="534" t="s">
        <v>432</v>
      </c>
      <c r="B11" s="534"/>
      <c r="C11" s="534"/>
      <c r="D11" s="534"/>
      <c r="E11" s="534"/>
      <c r="F11" s="534"/>
      <c r="G11" s="534"/>
      <c r="H11" s="534"/>
      <c r="I11" s="534"/>
      <c r="J11" s="274"/>
      <c r="K11" s="274"/>
      <c r="L11" s="274"/>
      <c r="M11" s="273"/>
      <c r="N11" s="273"/>
      <c r="O11" s="273"/>
      <c r="P11" s="273"/>
      <c r="Q11" s="273"/>
      <c r="R11" s="273"/>
      <c r="S11" s="273"/>
      <c r="T11" s="273"/>
      <c r="U11" s="273"/>
      <c r="V11" s="273"/>
      <c r="W11" s="273"/>
      <c r="X11" s="273"/>
      <c r="Y11" s="273"/>
      <c r="Z11" s="273"/>
      <c r="AA11" s="273"/>
      <c r="AB11" s="273"/>
      <c r="AC11" s="273"/>
    </row>
    <row r="12" spans="1:32" s="18" customFormat="1" ht="15.5" x14ac:dyDescent="0.35">
      <c r="A12" s="343" t="s">
        <v>296</v>
      </c>
      <c r="B12" s="256"/>
      <c r="C12" s="256"/>
      <c r="D12" s="256"/>
      <c r="E12" s="256"/>
      <c r="F12" s="256"/>
      <c r="G12" s="256"/>
      <c r="H12" s="256"/>
      <c r="I12" s="256"/>
      <c r="J12" s="256"/>
      <c r="K12" s="256"/>
      <c r="L12" s="514"/>
      <c r="M12" s="257"/>
      <c r="N12" s="15"/>
      <c r="O12" s="15"/>
      <c r="P12" s="254"/>
      <c r="Q12" s="254"/>
      <c r="R12" s="254"/>
      <c r="S12" s="254"/>
      <c r="T12" s="254"/>
      <c r="U12" s="254"/>
      <c r="V12" s="254"/>
      <c r="W12" s="254"/>
      <c r="X12" s="254"/>
      <c r="Y12" s="254"/>
      <c r="Z12" s="254"/>
      <c r="AA12" s="254"/>
      <c r="AB12" s="254"/>
      <c r="AC12" s="255"/>
      <c r="AD12" s="255"/>
      <c r="AE12" s="255"/>
      <c r="AF12" s="255"/>
    </row>
    <row r="13" spans="1:32" s="18" customFormat="1" ht="15.5" x14ac:dyDescent="0.35">
      <c r="A13" s="254"/>
      <c r="B13" s="254"/>
      <c r="C13" s="254"/>
      <c r="D13" s="254"/>
      <c r="E13" s="254"/>
      <c r="F13" s="254"/>
      <c r="G13" s="254"/>
      <c r="H13" s="254"/>
      <c r="I13" s="254"/>
      <c r="J13" s="254"/>
      <c r="K13" s="254"/>
      <c r="L13" s="515"/>
      <c r="N13" s="15"/>
      <c r="O13" s="15"/>
      <c r="P13" s="15"/>
      <c r="Q13" s="15"/>
      <c r="R13" s="15"/>
      <c r="S13" s="15"/>
      <c r="T13" s="15"/>
      <c r="U13" s="15"/>
      <c r="V13" s="15"/>
      <c r="W13" s="15"/>
      <c r="X13" s="15"/>
      <c r="Y13" s="15"/>
      <c r="Z13" s="15"/>
      <c r="AA13" s="15"/>
      <c r="AB13" s="15"/>
    </row>
    <row r="14" spans="1:32" s="418" customFormat="1" ht="18" x14ac:dyDescent="0.3">
      <c r="A14" s="416" t="s">
        <v>333</v>
      </c>
      <c r="B14" s="415"/>
      <c r="C14" s="415"/>
      <c r="D14" s="415"/>
      <c r="E14" s="415"/>
      <c r="F14" s="415"/>
      <c r="G14" s="415"/>
      <c r="H14" s="415"/>
      <c r="I14" s="415"/>
      <c r="J14" s="416"/>
      <c r="K14" s="415"/>
      <c r="L14" s="415"/>
      <c r="M14" s="531" t="s">
        <v>334</v>
      </c>
      <c r="N14" s="416"/>
      <c r="O14" s="416"/>
      <c r="P14" s="421"/>
      <c r="Q14" s="421"/>
      <c r="R14" s="421"/>
      <c r="S14" s="421"/>
      <c r="T14" s="417"/>
      <c r="U14" s="417"/>
      <c r="V14" s="417"/>
      <c r="W14" s="417"/>
      <c r="X14" s="417"/>
      <c r="Y14" s="417"/>
      <c r="Z14" s="417"/>
      <c r="AA14" s="417"/>
      <c r="AB14" s="417"/>
      <c r="AC14" s="422"/>
      <c r="AD14" s="422"/>
      <c r="AE14" s="422"/>
      <c r="AF14" s="422"/>
    </row>
    <row r="15" spans="1:32" s="15" customFormat="1" ht="41.5" customHeight="1" x14ac:dyDescent="0.3">
      <c r="A15" s="344"/>
      <c r="B15" s="345"/>
      <c r="C15" s="406" t="s">
        <v>335</v>
      </c>
      <c r="D15" s="406" t="s">
        <v>380</v>
      </c>
      <c r="E15" s="406" t="s">
        <v>336</v>
      </c>
      <c r="F15" s="406" t="s">
        <v>337</v>
      </c>
      <c r="G15" s="406" t="s">
        <v>338</v>
      </c>
      <c r="H15" s="406" t="s">
        <v>339</v>
      </c>
      <c r="I15" s="406" t="s">
        <v>340</v>
      </c>
      <c r="J15" s="407" t="s">
        <v>341</v>
      </c>
      <c r="K15" s="408" t="s">
        <v>328</v>
      </c>
      <c r="L15" s="516" t="s">
        <v>368</v>
      </c>
      <c r="M15" s="344" t="str">
        <f>C15</f>
        <v>n = année précédente</v>
      </c>
      <c r="N15" s="344" t="str">
        <f>D15</f>
        <v>n+1 
(1re année du PDR)</v>
      </c>
      <c r="O15" s="364" t="str">
        <f>I15</f>
        <v>n+6</v>
      </c>
    </row>
    <row r="16" spans="1:32" s="421" customFormat="1" ht="18" x14ac:dyDescent="0.3">
      <c r="A16" s="423" t="s">
        <v>382</v>
      </c>
      <c r="B16" s="424"/>
      <c r="C16" s="425">
        <f>SUM(C17:C25)</f>
        <v>0</v>
      </c>
      <c r="D16" s="425">
        <f t="shared" ref="D16:J16" si="1">SUM(D17:D25)</f>
        <v>0</v>
      </c>
      <c r="E16" s="425">
        <f t="shared" si="1"/>
        <v>0</v>
      </c>
      <c r="F16" s="425">
        <f t="shared" si="1"/>
        <v>0</v>
      </c>
      <c r="G16" s="425">
        <f t="shared" si="1"/>
        <v>0</v>
      </c>
      <c r="H16" s="425">
        <f t="shared" si="1"/>
        <v>0</v>
      </c>
      <c r="I16" s="425">
        <f t="shared" si="1"/>
        <v>0</v>
      </c>
      <c r="J16" s="426">
        <f t="shared" si="1"/>
        <v>0</v>
      </c>
      <c r="K16" s="427">
        <f>SUM(C16:J16)</f>
        <v>0</v>
      </c>
      <c r="L16" s="513"/>
      <c r="M16" s="428" t="str">
        <f>IF(SUM(M17:M25)=100%,"OK","!")</f>
        <v>!</v>
      </c>
      <c r="N16" s="428" t="str">
        <f t="shared" ref="N16:O16" si="2">IF(SUM(N17:N25)=100%,"OK","!")</f>
        <v>!</v>
      </c>
      <c r="O16" s="428" t="str">
        <f t="shared" si="2"/>
        <v>!</v>
      </c>
    </row>
    <row r="17" spans="1:15" s="15" customFormat="1" ht="15.5" x14ac:dyDescent="0.3">
      <c r="A17" s="346" t="s">
        <v>423</v>
      </c>
      <c r="B17" s="347"/>
      <c r="C17" s="346"/>
      <c r="D17" s="346"/>
      <c r="E17" s="346"/>
      <c r="F17" s="346"/>
      <c r="G17" s="346"/>
      <c r="H17" s="346"/>
      <c r="I17" s="346"/>
      <c r="J17" s="348"/>
      <c r="K17" s="349">
        <f>SUM(C17:J17)</f>
        <v>0</v>
      </c>
      <c r="L17" s="512"/>
      <c r="M17" s="17" t="str">
        <f>IFERROR(C17/$C$16,"N/A")</f>
        <v>N/A</v>
      </c>
      <c r="N17" s="17" t="str">
        <f>IFERROR(D17/$D$16,"N/A")</f>
        <v>N/A</v>
      </c>
      <c r="O17" s="17" t="str">
        <f>IFERROR(I17/$I$16,"N/A")</f>
        <v>N/A</v>
      </c>
    </row>
    <row r="18" spans="1:15" s="15" customFormat="1" ht="15.5" x14ac:dyDescent="0.3">
      <c r="A18" s="346" t="s">
        <v>424</v>
      </c>
      <c r="B18" s="347"/>
      <c r="C18" s="346"/>
      <c r="D18" s="346"/>
      <c r="E18" s="346"/>
      <c r="F18" s="346"/>
      <c r="G18" s="346"/>
      <c r="H18" s="346"/>
      <c r="I18" s="346"/>
      <c r="J18" s="348"/>
      <c r="K18" s="349">
        <f>SUM(C18:J18)</f>
        <v>0</v>
      </c>
      <c r="L18" s="512"/>
      <c r="M18" s="17" t="str">
        <f>IFERROR(C18/$C$16,"N/A")</f>
        <v>N/A</v>
      </c>
      <c r="N18" s="17" t="str">
        <f>IFERROR(D18/$D$16,"N/A")</f>
        <v>N/A</v>
      </c>
      <c r="O18" s="17" t="str">
        <f>IFERROR(I18/$I$16,"N/A")</f>
        <v>N/A</v>
      </c>
    </row>
    <row r="19" spans="1:15" s="15" customFormat="1" ht="15.5" x14ac:dyDescent="0.3">
      <c r="A19" s="346" t="s">
        <v>425</v>
      </c>
      <c r="B19" s="347"/>
      <c r="C19" s="346"/>
      <c r="D19" s="346"/>
      <c r="E19" s="346"/>
      <c r="F19" s="346"/>
      <c r="G19" s="346"/>
      <c r="H19" s="346"/>
      <c r="I19" s="346"/>
      <c r="J19" s="348"/>
      <c r="K19" s="349">
        <f>SUM(C19:J19)</f>
        <v>0</v>
      </c>
      <c r="L19" s="512"/>
      <c r="M19" s="17" t="str">
        <f>IFERROR(C19/$C$16,"N/A")</f>
        <v>N/A</v>
      </c>
      <c r="N19" s="17" t="str">
        <f>IFERROR(D19/$D$16,"N/A")</f>
        <v>N/A</v>
      </c>
      <c r="O19" s="17" t="str">
        <f>IFERROR(I19/$I$16,"N/A")</f>
        <v>N/A</v>
      </c>
    </row>
    <row r="20" spans="1:15" s="15" customFormat="1" ht="15.5" x14ac:dyDescent="0.3">
      <c r="A20" s="346"/>
      <c r="B20" s="347"/>
      <c r="C20" s="346"/>
      <c r="D20" s="346"/>
      <c r="E20" s="346"/>
      <c r="F20" s="346"/>
      <c r="G20" s="346"/>
      <c r="H20" s="346"/>
      <c r="I20" s="346"/>
      <c r="J20" s="348"/>
      <c r="K20" s="349">
        <f t="shared" ref="K20:K25" si="3">SUM(C20:J20)</f>
        <v>0</v>
      </c>
      <c r="L20" s="512"/>
      <c r="M20" s="17" t="str">
        <f>IFERROR(C20/$C$16,"N/A")</f>
        <v>N/A</v>
      </c>
      <c r="N20" s="17" t="str">
        <f>IFERROR(D20/$D$16,"N/A")</f>
        <v>N/A</v>
      </c>
      <c r="O20" s="17" t="str">
        <f>IFERROR(I20/$I$16,"N/A")</f>
        <v>N/A</v>
      </c>
    </row>
    <row r="21" spans="1:15" s="15" customFormat="1" ht="15.5" x14ac:dyDescent="0.3">
      <c r="A21" s="346" t="s">
        <v>342</v>
      </c>
      <c r="B21" s="347"/>
      <c r="C21" s="346"/>
      <c r="D21" s="346"/>
      <c r="E21" s="346"/>
      <c r="F21" s="346"/>
      <c r="G21" s="346"/>
      <c r="H21" s="346"/>
      <c r="I21" s="346"/>
      <c r="J21" s="348"/>
      <c r="K21" s="349">
        <f t="shared" si="3"/>
        <v>0</v>
      </c>
      <c r="L21" s="512"/>
      <c r="M21" s="17" t="str">
        <f>IFERROR(C21/$C$16,"N/A")</f>
        <v>N/A</v>
      </c>
      <c r="N21" s="17" t="str">
        <f>IFERROR(D21/$D$16,"N/A")</f>
        <v>N/A</v>
      </c>
      <c r="O21" s="17" t="str">
        <f>IFERROR(I21/$I$16,"N/A")</f>
        <v>N/A</v>
      </c>
    </row>
    <row r="22" spans="1:15" s="15" customFormat="1" ht="15.5" x14ac:dyDescent="0.3">
      <c r="A22" s="346"/>
      <c r="B22" s="347"/>
      <c r="C22" s="346"/>
      <c r="D22" s="346"/>
      <c r="E22" s="346"/>
      <c r="F22" s="346"/>
      <c r="G22" s="346"/>
      <c r="H22" s="346"/>
      <c r="I22" s="346"/>
      <c r="J22" s="348"/>
      <c r="K22" s="349">
        <f t="shared" si="3"/>
        <v>0</v>
      </c>
      <c r="L22" s="512"/>
      <c r="M22" s="17"/>
      <c r="N22" s="17"/>
      <c r="O22" s="17"/>
    </row>
    <row r="23" spans="1:15" s="15" customFormat="1" ht="15.5" x14ac:dyDescent="0.3">
      <c r="A23" s="346"/>
      <c r="B23" s="347"/>
      <c r="C23" s="346"/>
      <c r="D23" s="346"/>
      <c r="E23" s="346"/>
      <c r="F23" s="346"/>
      <c r="G23" s="346"/>
      <c r="H23" s="346"/>
      <c r="I23" s="346"/>
      <c r="J23" s="348"/>
      <c r="K23" s="349">
        <f t="shared" si="3"/>
        <v>0</v>
      </c>
      <c r="L23" s="512"/>
      <c r="M23" s="17"/>
      <c r="N23" s="17"/>
      <c r="O23" s="17"/>
    </row>
    <row r="24" spans="1:15" s="15" customFormat="1" ht="15.5" x14ac:dyDescent="0.3">
      <c r="A24" s="346"/>
      <c r="B24" s="347"/>
      <c r="C24" s="346"/>
      <c r="D24" s="346"/>
      <c r="E24" s="346"/>
      <c r="F24" s="346"/>
      <c r="G24" s="346"/>
      <c r="H24" s="346"/>
      <c r="I24" s="346"/>
      <c r="J24" s="348"/>
      <c r="K24" s="349">
        <f t="shared" si="3"/>
        <v>0</v>
      </c>
      <c r="L24" s="512"/>
      <c r="M24" s="17" t="str">
        <f>IFERROR(C24/$C$16,"N/A")</f>
        <v>N/A</v>
      </c>
      <c r="N24" s="17" t="str">
        <f>IFERROR(D24/$D$16,"N/A")</f>
        <v>N/A</v>
      </c>
      <c r="O24" s="17" t="str">
        <f>IFERROR(I24/$I$16,"N/A")</f>
        <v>N/A</v>
      </c>
    </row>
    <row r="25" spans="1:15" s="15" customFormat="1" ht="15.5" x14ac:dyDescent="0.3">
      <c r="A25" s="346"/>
      <c r="B25" s="347"/>
      <c r="C25" s="346"/>
      <c r="D25" s="346"/>
      <c r="E25" s="346"/>
      <c r="F25" s="346"/>
      <c r="G25" s="346"/>
      <c r="H25" s="346"/>
      <c r="I25" s="346"/>
      <c r="J25" s="348"/>
      <c r="K25" s="349">
        <f t="shared" si="3"/>
        <v>0</v>
      </c>
      <c r="L25" s="512"/>
      <c r="M25" s="17" t="str">
        <f>IFERROR(C25/$C$16,"N/A")</f>
        <v>N/A</v>
      </c>
      <c r="N25" s="17" t="str">
        <f>IFERROR(D25/$D$16,"N/A")</f>
        <v>N/A</v>
      </c>
      <c r="O25" s="17" t="str">
        <f>IFERROR(I25/$I$16,"N/A")</f>
        <v>N/A</v>
      </c>
    </row>
    <row r="26" spans="1:15" s="421" customFormat="1" ht="18" x14ac:dyDescent="0.3">
      <c r="A26" s="429" t="s">
        <v>383</v>
      </c>
      <c r="B26" s="430"/>
      <c r="C26" s="431">
        <f>SUM(C27:C33)</f>
        <v>0</v>
      </c>
      <c r="D26" s="431">
        <f t="shared" ref="D26:H26" si="4">SUM(D27:D33)</f>
        <v>0</v>
      </c>
      <c r="E26" s="431">
        <f t="shared" si="4"/>
        <v>0</v>
      </c>
      <c r="F26" s="431">
        <f t="shared" si="4"/>
        <v>0</v>
      </c>
      <c r="G26" s="431">
        <f t="shared" si="4"/>
        <v>0</v>
      </c>
      <c r="H26" s="431">
        <f t="shared" si="4"/>
        <v>0</v>
      </c>
      <c r="I26" s="431">
        <f>SUM(I27:I33)</f>
        <v>0</v>
      </c>
      <c r="J26" s="432">
        <f>SUM(J27:J33)</f>
        <v>0</v>
      </c>
      <c r="K26" s="433">
        <f t="shared" ref="K26:K35" si="5">SUM(C26:J26)</f>
        <v>0</v>
      </c>
      <c r="L26" s="518"/>
      <c r="M26" s="428" t="str">
        <f>IF(SUM(M27:M34)=100%,"OK","!")</f>
        <v>!</v>
      </c>
      <c r="N26" s="428" t="str">
        <f t="shared" ref="N26:O26" si="6">IF(SUM(N27:N34)=100%,"OK","!")</f>
        <v>!</v>
      </c>
      <c r="O26" s="428" t="str">
        <f t="shared" si="6"/>
        <v>!</v>
      </c>
    </row>
    <row r="27" spans="1:15" s="15" customFormat="1" ht="15.5" x14ac:dyDescent="0.3">
      <c r="A27" s="346" t="s">
        <v>423</v>
      </c>
      <c r="B27" s="351"/>
      <c r="C27" s="346"/>
      <c r="D27" s="352"/>
      <c r="E27" s="352"/>
      <c r="F27" s="352"/>
      <c r="G27" s="352"/>
      <c r="H27" s="352"/>
      <c r="I27" s="346"/>
      <c r="J27" s="348"/>
      <c r="K27" s="349">
        <f t="shared" si="5"/>
        <v>0</v>
      </c>
      <c r="L27" s="512"/>
      <c r="M27" s="17" t="str">
        <f t="shared" ref="M27:M34" si="7">IFERROR(C27/$C$26,"N/A")</f>
        <v>N/A</v>
      </c>
      <c r="N27" s="17" t="str">
        <f t="shared" ref="N27:N34" si="8">IFERROR(D27/$D$26,"N/A")</f>
        <v>N/A</v>
      </c>
      <c r="O27" s="17" t="str">
        <f t="shared" ref="O27:O34" si="9">IFERROR(I27/$I$26,"N/A")</f>
        <v>N/A</v>
      </c>
    </row>
    <row r="28" spans="1:15" s="15" customFormat="1" ht="15.5" x14ac:dyDescent="0.3">
      <c r="A28" s="346" t="s">
        <v>424</v>
      </c>
      <c r="B28" s="351"/>
      <c r="C28" s="346"/>
      <c r="D28" s="352"/>
      <c r="E28" s="352"/>
      <c r="F28" s="352"/>
      <c r="G28" s="352"/>
      <c r="H28" s="352"/>
      <c r="I28" s="346"/>
      <c r="J28" s="348"/>
      <c r="K28" s="349">
        <f t="shared" si="5"/>
        <v>0</v>
      </c>
      <c r="L28" s="512"/>
      <c r="M28" s="17" t="str">
        <f t="shared" si="7"/>
        <v>N/A</v>
      </c>
      <c r="N28" s="17" t="str">
        <f t="shared" si="8"/>
        <v>N/A</v>
      </c>
      <c r="O28" s="17" t="str">
        <f t="shared" si="9"/>
        <v>N/A</v>
      </c>
    </row>
    <row r="29" spans="1:15" s="15" customFormat="1" ht="15.5" x14ac:dyDescent="0.3">
      <c r="A29" s="346" t="s">
        <v>425</v>
      </c>
      <c r="B29" s="351"/>
      <c r="C29" s="346"/>
      <c r="D29" s="352"/>
      <c r="E29" s="352"/>
      <c r="F29" s="352"/>
      <c r="G29" s="352"/>
      <c r="H29" s="352"/>
      <c r="I29" s="346"/>
      <c r="J29" s="348"/>
      <c r="K29" s="349">
        <f t="shared" si="5"/>
        <v>0</v>
      </c>
      <c r="L29" s="512"/>
      <c r="M29" s="17" t="str">
        <f t="shared" si="7"/>
        <v>N/A</v>
      </c>
      <c r="N29" s="17" t="str">
        <f t="shared" si="8"/>
        <v>N/A</v>
      </c>
      <c r="O29" s="17" t="str">
        <f t="shared" si="9"/>
        <v>N/A</v>
      </c>
    </row>
    <row r="30" spans="1:15" s="15" customFormat="1" ht="15.5" x14ac:dyDescent="0.3">
      <c r="A30" s="346"/>
      <c r="B30" s="351"/>
      <c r="C30" s="346"/>
      <c r="D30" s="352"/>
      <c r="E30" s="352"/>
      <c r="F30" s="352"/>
      <c r="G30" s="352"/>
      <c r="H30" s="352"/>
      <c r="I30" s="346"/>
      <c r="J30" s="348"/>
      <c r="K30" s="349">
        <f t="shared" si="5"/>
        <v>0</v>
      </c>
      <c r="L30" s="512"/>
      <c r="M30" s="17" t="str">
        <f t="shared" si="7"/>
        <v>N/A</v>
      </c>
      <c r="N30" s="17" t="str">
        <f t="shared" si="8"/>
        <v>N/A</v>
      </c>
      <c r="O30" s="17" t="str">
        <f t="shared" si="9"/>
        <v>N/A</v>
      </c>
    </row>
    <row r="31" spans="1:15" s="15" customFormat="1" ht="15.5" x14ac:dyDescent="0.3">
      <c r="A31" s="346"/>
      <c r="B31" s="351"/>
      <c r="C31" s="346"/>
      <c r="D31" s="352"/>
      <c r="E31" s="352"/>
      <c r="F31" s="352"/>
      <c r="G31" s="352"/>
      <c r="H31" s="352"/>
      <c r="I31" s="346"/>
      <c r="J31" s="348"/>
      <c r="K31" s="349">
        <f t="shared" si="5"/>
        <v>0</v>
      </c>
      <c r="L31" s="512"/>
      <c r="M31" s="17" t="str">
        <f t="shared" si="7"/>
        <v>N/A</v>
      </c>
      <c r="N31" s="17" t="str">
        <f t="shared" si="8"/>
        <v>N/A</v>
      </c>
      <c r="O31" s="17" t="str">
        <f t="shared" si="9"/>
        <v>N/A</v>
      </c>
    </row>
    <row r="32" spans="1:15" s="15" customFormat="1" ht="15.5" x14ac:dyDescent="0.3">
      <c r="A32" s="346"/>
      <c r="B32" s="351"/>
      <c r="C32" s="346"/>
      <c r="D32" s="352"/>
      <c r="E32" s="352"/>
      <c r="F32" s="352"/>
      <c r="G32" s="352"/>
      <c r="H32" s="352"/>
      <c r="I32" s="346"/>
      <c r="J32" s="348"/>
      <c r="K32" s="349">
        <f t="shared" si="5"/>
        <v>0</v>
      </c>
      <c r="L32" s="512"/>
      <c r="M32" s="17" t="str">
        <f t="shared" si="7"/>
        <v>N/A</v>
      </c>
      <c r="N32" s="17" t="str">
        <f t="shared" si="8"/>
        <v>N/A</v>
      </c>
      <c r="O32" s="17" t="str">
        <f t="shared" si="9"/>
        <v>N/A</v>
      </c>
    </row>
    <row r="33" spans="1:16" s="15" customFormat="1" ht="15.5" x14ac:dyDescent="0.3">
      <c r="A33" s="346"/>
      <c r="B33" s="351"/>
      <c r="C33" s="346"/>
      <c r="D33" s="352"/>
      <c r="E33" s="352"/>
      <c r="F33" s="352"/>
      <c r="G33" s="352"/>
      <c r="H33" s="352"/>
      <c r="I33" s="346"/>
      <c r="J33" s="348"/>
      <c r="K33" s="349">
        <f t="shared" si="5"/>
        <v>0</v>
      </c>
      <c r="L33" s="512"/>
      <c r="M33" s="17" t="str">
        <f t="shared" si="7"/>
        <v>N/A</v>
      </c>
      <c r="N33" s="17" t="str">
        <f t="shared" si="8"/>
        <v>N/A</v>
      </c>
      <c r="O33" s="17" t="str">
        <f t="shared" si="9"/>
        <v>N/A</v>
      </c>
    </row>
    <row r="34" spans="1:16" s="15" customFormat="1" ht="15.5" x14ac:dyDescent="0.3">
      <c r="A34" s="521"/>
      <c r="B34" s="525"/>
      <c r="C34" s="521"/>
      <c r="D34" s="526"/>
      <c r="E34" s="526"/>
      <c r="F34" s="526"/>
      <c r="G34" s="526"/>
      <c r="H34" s="526"/>
      <c r="I34" s="521"/>
      <c r="J34" s="349"/>
      <c r="K34" s="349">
        <f t="shared" si="5"/>
        <v>0</v>
      </c>
      <c r="L34" s="517"/>
      <c r="M34" s="17" t="str">
        <f t="shared" si="7"/>
        <v>N/A</v>
      </c>
      <c r="N34" s="17" t="str">
        <f t="shared" si="8"/>
        <v>N/A</v>
      </c>
      <c r="O34" s="17" t="str">
        <f t="shared" si="9"/>
        <v>N/A</v>
      </c>
    </row>
    <row r="35" spans="1:16" s="417" customFormat="1" ht="18" x14ac:dyDescent="0.3">
      <c r="A35" s="434" t="s">
        <v>343</v>
      </c>
      <c r="B35" s="435"/>
      <c r="C35" s="436">
        <f>C16-C26</f>
        <v>0</v>
      </c>
      <c r="D35" s="436">
        <f t="shared" ref="D35:J35" si="10">D16-D26</f>
        <v>0</v>
      </c>
      <c r="E35" s="436">
        <f t="shared" si="10"/>
        <v>0</v>
      </c>
      <c r="F35" s="436">
        <f t="shared" si="10"/>
        <v>0</v>
      </c>
      <c r="G35" s="436">
        <f t="shared" si="10"/>
        <v>0</v>
      </c>
      <c r="H35" s="436">
        <f t="shared" si="10"/>
        <v>0</v>
      </c>
      <c r="I35" s="436">
        <f t="shared" ref="I35" si="11">I16-I26</f>
        <v>0</v>
      </c>
      <c r="J35" s="437">
        <f t="shared" si="10"/>
        <v>0</v>
      </c>
      <c r="K35" s="437">
        <f t="shared" si="5"/>
        <v>0</v>
      </c>
      <c r="L35" s="519"/>
    </row>
    <row r="36" spans="1:16" s="15" customFormat="1" ht="15.5" x14ac:dyDescent="0.3">
      <c r="A36" s="262" t="s">
        <v>365</v>
      </c>
      <c r="B36" s="353"/>
      <c r="C36" s="346"/>
      <c r="D36" s="346"/>
      <c r="E36" s="346"/>
      <c r="F36" s="346"/>
      <c r="G36" s="346"/>
      <c r="H36" s="346"/>
      <c r="I36" s="346"/>
      <c r="J36" s="348"/>
      <c r="K36" s="349">
        <f t="shared" ref="K36:K49" si="12">SUM(C36:J36)</f>
        <v>0</v>
      </c>
      <c r="L36" s="273"/>
      <c r="M36" s="17"/>
      <c r="N36" s="17"/>
      <c r="O36" s="17"/>
    </row>
    <row r="37" spans="1:16" s="15" customFormat="1" ht="15.5" x14ac:dyDescent="0.3">
      <c r="A37" s="261" t="s">
        <v>366</v>
      </c>
      <c r="B37" s="353"/>
      <c r="C37" s="346"/>
      <c r="D37" s="346"/>
      <c r="E37" s="346"/>
      <c r="F37" s="346"/>
      <c r="G37" s="346"/>
      <c r="H37" s="346"/>
      <c r="I37" s="346"/>
      <c r="J37" s="348"/>
      <c r="K37" s="349">
        <f t="shared" si="12"/>
        <v>0</v>
      </c>
      <c r="L37" s="273"/>
      <c r="M37" s="17"/>
      <c r="N37" s="17"/>
      <c r="O37" s="17"/>
    </row>
    <row r="38" spans="1:16" s="417" customFormat="1" ht="18" x14ac:dyDescent="0.3">
      <c r="A38" s="434" t="s">
        <v>344</v>
      </c>
      <c r="B38" s="435"/>
      <c r="C38" s="436">
        <f>C35-SUM(C36:C37)</f>
        <v>0</v>
      </c>
      <c r="D38" s="436">
        <f t="shared" ref="D38:J38" si="13">D35-SUM(D36:D37)</f>
        <v>0</v>
      </c>
      <c r="E38" s="436">
        <f t="shared" si="13"/>
        <v>0</v>
      </c>
      <c r="F38" s="436">
        <f t="shared" si="13"/>
        <v>0</v>
      </c>
      <c r="G38" s="436">
        <f t="shared" si="13"/>
        <v>0</v>
      </c>
      <c r="H38" s="436">
        <f t="shared" si="13"/>
        <v>0</v>
      </c>
      <c r="I38" s="436">
        <f t="shared" si="13"/>
        <v>0</v>
      </c>
      <c r="J38" s="437">
        <f t="shared" si="13"/>
        <v>0</v>
      </c>
      <c r="K38" s="437">
        <f>SUM(C38:J38)</f>
        <v>0</v>
      </c>
      <c r="L38" s="519"/>
    </row>
    <row r="39" spans="1:16" s="254" customFormat="1" ht="37.5" customHeight="1" x14ac:dyDescent="0.3">
      <c r="A39" s="350" t="s">
        <v>345</v>
      </c>
      <c r="B39" s="354" t="s">
        <v>346</v>
      </c>
      <c r="C39" s="409">
        <f>IFERROR(SUM(C40:C49),"N/A")</f>
        <v>0</v>
      </c>
      <c r="D39" s="409">
        <f t="shared" ref="D39:J39" si="14">IFERROR(SUM(D40:D49),"N/A")</f>
        <v>0</v>
      </c>
      <c r="E39" s="409">
        <f t="shared" si="14"/>
        <v>0</v>
      </c>
      <c r="F39" s="409">
        <f t="shared" si="14"/>
        <v>0</v>
      </c>
      <c r="G39" s="409">
        <f t="shared" si="14"/>
        <v>0</v>
      </c>
      <c r="H39" s="409">
        <f t="shared" si="14"/>
        <v>0</v>
      </c>
      <c r="I39" s="409">
        <f t="shared" si="14"/>
        <v>0</v>
      </c>
      <c r="J39" s="410">
        <f t="shared" si="14"/>
        <v>0</v>
      </c>
      <c r="K39" s="411">
        <f>SUM(C39:J39)</f>
        <v>0</v>
      </c>
      <c r="L39" s="273"/>
      <c r="M39" s="16" t="str">
        <f>IF(SUM(M40:M46)=100%,"OK","!")</f>
        <v>!</v>
      </c>
      <c r="N39" s="16" t="str">
        <f t="shared" ref="N39:O39" si="15">IF(SUM(N40:N46)=100%,"OK","!")</f>
        <v>!</v>
      </c>
      <c r="O39" s="16" t="str">
        <f t="shared" si="15"/>
        <v>!</v>
      </c>
      <c r="P39" s="355"/>
    </row>
    <row r="40" spans="1:16" s="254" customFormat="1" ht="15.5" x14ac:dyDescent="0.3">
      <c r="A40" s="262" t="s">
        <v>347</v>
      </c>
      <c r="B40" s="356"/>
      <c r="C40" s="346"/>
      <c r="D40" s="346"/>
      <c r="E40" s="346"/>
      <c r="F40" s="346"/>
      <c r="G40" s="346"/>
      <c r="H40" s="346"/>
      <c r="I40" s="346"/>
      <c r="J40" s="348"/>
      <c r="K40" s="349">
        <f t="shared" si="12"/>
        <v>0</v>
      </c>
      <c r="L40" s="273"/>
      <c r="M40" s="17" t="str">
        <f>IFERROR(C40/$C$39,"N/A")</f>
        <v>N/A</v>
      </c>
      <c r="N40" s="17" t="str">
        <f t="shared" ref="N40:N46" si="16">IFERROR(D40/$D$39,"N/A")</f>
        <v>N/A</v>
      </c>
      <c r="O40" s="17" t="str">
        <f t="shared" ref="O40:O46" si="17">IFERROR(J40/$J$39,"N/A")</f>
        <v>N/A</v>
      </c>
      <c r="P40" s="355"/>
    </row>
    <row r="41" spans="1:16" s="15" customFormat="1" ht="33.65" customHeight="1" x14ac:dyDescent="0.3">
      <c r="A41" s="262" t="s">
        <v>348</v>
      </c>
      <c r="B41" s="353"/>
      <c r="C41" s="346"/>
      <c r="D41" s="346"/>
      <c r="E41" s="346"/>
      <c r="F41" s="346"/>
      <c r="G41" s="346"/>
      <c r="H41" s="346"/>
      <c r="I41" s="346"/>
      <c r="J41" s="348"/>
      <c r="K41" s="349">
        <f>SUM(C41:J41)</f>
        <v>0</v>
      </c>
      <c r="L41" s="273"/>
      <c r="M41" s="17" t="str">
        <f t="shared" ref="M41:M46" si="18">IFERROR(C41/$C$39,"N/A")</f>
        <v>N/A</v>
      </c>
      <c r="N41" s="17" t="str">
        <f t="shared" si="16"/>
        <v>N/A</v>
      </c>
      <c r="O41" s="17" t="str">
        <f t="shared" si="17"/>
        <v>N/A</v>
      </c>
    </row>
    <row r="42" spans="1:16" s="15" customFormat="1" ht="15.5" x14ac:dyDescent="0.3">
      <c r="A42" s="262" t="s">
        <v>349</v>
      </c>
      <c r="B42" s="353"/>
      <c r="C42" s="346"/>
      <c r="D42" s="346"/>
      <c r="E42" s="346"/>
      <c r="F42" s="346"/>
      <c r="G42" s="346"/>
      <c r="H42" s="346"/>
      <c r="I42" s="346"/>
      <c r="J42" s="348"/>
      <c r="K42" s="349">
        <f t="shared" si="12"/>
        <v>0</v>
      </c>
      <c r="L42" s="273"/>
      <c r="M42" s="17" t="str">
        <f t="shared" si="18"/>
        <v>N/A</v>
      </c>
      <c r="N42" s="17" t="str">
        <f t="shared" si="16"/>
        <v>N/A</v>
      </c>
      <c r="O42" s="17" t="str">
        <f t="shared" si="17"/>
        <v>N/A</v>
      </c>
    </row>
    <row r="43" spans="1:16" s="15" customFormat="1" ht="15.5" x14ac:dyDescent="0.3">
      <c r="A43" s="262" t="s">
        <v>350</v>
      </c>
      <c r="B43" s="353"/>
      <c r="C43" s="346"/>
      <c r="D43" s="346"/>
      <c r="E43" s="346"/>
      <c r="F43" s="346"/>
      <c r="G43" s="346"/>
      <c r="H43" s="346"/>
      <c r="I43" s="346"/>
      <c r="J43" s="348"/>
      <c r="K43" s="349">
        <f t="shared" si="12"/>
        <v>0</v>
      </c>
      <c r="L43" s="273"/>
      <c r="M43" s="17" t="str">
        <f t="shared" si="18"/>
        <v>N/A</v>
      </c>
      <c r="N43" s="17" t="str">
        <f t="shared" si="16"/>
        <v>N/A</v>
      </c>
      <c r="O43" s="17" t="str">
        <f t="shared" si="17"/>
        <v>N/A</v>
      </c>
    </row>
    <row r="44" spans="1:16" s="15" customFormat="1" ht="15.5" x14ac:dyDescent="0.3">
      <c r="A44" s="262" t="s">
        <v>351</v>
      </c>
      <c r="B44" s="353"/>
      <c r="C44" s="346"/>
      <c r="D44" s="346"/>
      <c r="E44" s="346"/>
      <c r="F44" s="346"/>
      <c r="G44" s="346"/>
      <c r="H44" s="346"/>
      <c r="I44" s="346"/>
      <c r="J44" s="348"/>
      <c r="K44" s="349">
        <f t="shared" si="12"/>
        <v>0</v>
      </c>
      <c r="L44" s="273"/>
      <c r="M44" s="17" t="str">
        <f t="shared" si="18"/>
        <v>N/A</v>
      </c>
      <c r="N44" s="17" t="str">
        <f t="shared" si="16"/>
        <v>N/A</v>
      </c>
      <c r="O44" s="17" t="str">
        <f t="shared" si="17"/>
        <v>N/A</v>
      </c>
    </row>
    <row r="45" spans="1:16" s="15" customFormat="1" ht="15.5" x14ac:dyDescent="0.3">
      <c r="A45" s="262" t="s">
        <v>352</v>
      </c>
      <c r="B45" s="353"/>
      <c r="C45" s="346"/>
      <c r="D45" s="346"/>
      <c r="E45" s="346"/>
      <c r="F45" s="346"/>
      <c r="G45" s="346"/>
      <c r="H45" s="346"/>
      <c r="I45" s="346"/>
      <c r="J45" s="348"/>
      <c r="K45" s="349">
        <f t="shared" si="12"/>
        <v>0</v>
      </c>
      <c r="L45" s="273"/>
      <c r="M45" s="17" t="str">
        <f t="shared" si="18"/>
        <v>N/A</v>
      </c>
      <c r="N45" s="17" t="str">
        <f t="shared" si="16"/>
        <v>N/A</v>
      </c>
      <c r="O45" s="17" t="str">
        <f t="shared" si="17"/>
        <v>N/A</v>
      </c>
    </row>
    <row r="46" spans="1:16" s="15" customFormat="1" ht="15.5" x14ac:dyDescent="0.3">
      <c r="A46" s="262" t="s">
        <v>353</v>
      </c>
      <c r="B46" s="353"/>
      <c r="C46" s="346"/>
      <c r="D46" s="346"/>
      <c r="E46" s="346"/>
      <c r="F46" s="346"/>
      <c r="G46" s="346"/>
      <c r="H46" s="346"/>
      <c r="I46" s="346"/>
      <c r="J46" s="348"/>
      <c r="K46" s="349">
        <f t="shared" si="12"/>
        <v>0</v>
      </c>
      <c r="L46" s="273"/>
      <c r="M46" s="17" t="str">
        <f t="shared" si="18"/>
        <v>N/A</v>
      </c>
      <c r="N46" s="17" t="str">
        <f t="shared" si="16"/>
        <v>N/A</v>
      </c>
      <c r="O46" s="17" t="str">
        <f t="shared" si="17"/>
        <v>N/A</v>
      </c>
    </row>
    <row r="47" spans="1:16" s="15" customFormat="1" ht="15.5" x14ac:dyDescent="0.3">
      <c r="A47" s="262"/>
      <c r="B47" s="353"/>
      <c r="C47" s="346"/>
      <c r="D47" s="346"/>
      <c r="E47" s="346"/>
      <c r="F47" s="346"/>
      <c r="G47" s="346"/>
      <c r="H47" s="346"/>
      <c r="I47" s="346"/>
      <c r="J47" s="348"/>
      <c r="K47" s="349">
        <f t="shared" si="12"/>
        <v>0</v>
      </c>
      <c r="L47" s="273"/>
      <c r="M47" s="17"/>
      <c r="N47" s="17"/>
      <c r="O47" s="17"/>
    </row>
    <row r="48" spans="1:16" s="15" customFormat="1" ht="15.5" x14ac:dyDescent="0.3">
      <c r="A48" s="262"/>
      <c r="B48" s="353"/>
      <c r="C48" s="346"/>
      <c r="D48" s="346"/>
      <c r="E48" s="346"/>
      <c r="F48" s="346"/>
      <c r="G48" s="346"/>
      <c r="H48" s="346"/>
      <c r="I48" s="346"/>
      <c r="J48" s="348"/>
      <c r="K48" s="349">
        <f t="shared" si="12"/>
        <v>0</v>
      </c>
      <c r="L48" s="273"/>
      <c r="M48" s="17"/>
      <c r="N48" s="17"/>
      <c r="O48" s="17"/>
    </row>
    <row r="49" spans="1:19" s="15" customFormat="1" ht="15.5" x14ac:dyDescent="0.3">
      <c r="A49" s="262"/>
      <c r="B49" s="353"/>
      <c r="C49" s="346"/>
      <c r="D49" s="346"/>
      <c r="E49" s="346"/>
      <c r="F49" s="346"/>
      <c r="G49" s="346"/>
      <c r="H49" s="346"/>
      <c r="I49" s="346"/>
      <c r="J49" s="348"/>
      <c r="K49" s="349">
        <f t="shared" si="12"/>
        <v>0</v>
      </c>
      <c r="L49" s="273"/>
      <c r="M49" s="17"/>
      <c r="N49" s="17"/>
      <c r="O49" s="17"/>
    </row>
    <row r="50" spans="1:19" s="417" customFormat="1" ht="18" x14ac:dyDescent="0.3">
      <c r="A50" s="434" t="s">
        <v>384</v>
      </c>
      <c r="B50" s="435"/>
      <c r="C50" s="436">
        <f>C38-C39</f>
        <v>0</v>
      </c>
      <c r="D50" s="436">
        <f t="shared" ref="D50:J50" si="19">D38-D39</f>
        <v>0</v>
      </c>
      <c r="E50" s="436">
        <f t="shared" si="19"/>
        <v>0</v>
      </c>
      <c r="F50" s="436">
        <f t="shared" si="19"/>
        <v>0</v>
      </c>
      <c r="G50" s="436">
        <f t="shared" si="19"/>
        <v>0</v>
      </c>
      <c r="H50" s="436">
        <f t="shared" si="19"/>
        <v>0</v>
      </c>
      <c r="I50" s="436">
        <f t="shared" si="19"/>
        <v>0</v>
      </c>
      <c r="J50" s="437">
        <f t="shared" si="19"/>
        <v>0</v>
      </c>
      <c r="K50" s="437">
        <f>SUM(C50:J50)</f>
        <v>0</v>
      </c>
      <c r="L50" s="519"/>
    </row>
    <row r="51" spans="1:19" s="15" customFormat="1" ht="15.5" x14ac:dyDescent="0.3">
      <c r="A51" s="262" t="s">
        <v>354</v>
      </c>
      <c r="B51" s="347"/>
      <c r="C51" s="358"/>
      <c r="D51" s="358"/>
      <c r="E51" s="358"/>
      <c r="F51" s="358"/>
      <c r="G51" s="358"/>
      <c r="H51" s="358"/>
      <c r="I51" s="358"/>
      <c r="J51" s="358"/>
      <c r="K51" s="412">
        <f>SUM(C51:J51)</f>
        <v>0</v>
      </c>
      <c r="L51" s="273"/>
    </row>
    <row r="52" spans="1:19" s="417" customFormat="1" ht="18" x14ac:dyDescent="0.3">
      <c r="A52" s="434" t="s">
        <v>385</v>
      </c>
      <c r="B52" s="435"/>
      <c r="C52" s="436">
        <f>C50-C51</f>
        <v>0</v>
      </c>
      <c r="D52" s="436">
        <f t="shared" ref="D52:J52" si="20">D50-D51</f>
        <v>0</v>
      </c>
      <c r="E52" s="436">
        <f t="shared" si="20"/>
        <v>0</v>
      </c>
      <c r="F52" s="436">
        <f t="shared" si="20"/>
        <v>0</v>
      </c>
      <c r="G52" s="436">
        <f t="shared" si="20"/>
        <v>0</v>
      </c>
      <c r="H52" s="436">
        <f t="shared" si="20"/>
        <v>0</v>
      </c>
      <c r="I52" s="436">
        <f t="shared" ref="I52" si="21">I50-I51</f>
        <v>0</v>
      </c>
      <c r="J52" s="437">
        <f t="shared" si="20"/>
        <v>0</v>
      </c>
      <c r="K52" s="437">
        <f>SUM(C52:J52)</f>
        <v>0</v>
      </c>
      <c r="L52" s="519"/>
    </row>
    <row r="53" spans="1:19" s="15" customFormat="1" ht="15.5" x14ac:dyDescent="0.3">
      <c r="A53" s="262" t="s">
        <v>355</v>
      </c>
      <c r="B53" s="347"/>
      <c r="C53" s="527"/>
      <c r="D53" s="528"/>
      <c r="E53" s="528"/>
      <c r="F53" s="528"/>
      <c r="G53" s="528"/>
      <c r="H53" s="528"/>
      <c r="I53" s="528"/>
      <c r="J53" s="529"/>
      <c r="K53" s="349">
        <f>SUM(C53:J53)</f>
        <v>0</v>
      </c>
      <c r="L53" s="273"/>
    </row>
    <row r="54" spans="1:19" s="15" customFormat="1" ht="15.5" x14ac:dyDescent="0.3">
      <c r="A54" s="262" t="s">
        <v>356</v>
      </c>
      <c r="B54" s="347"/>
      <c r="C54" s="530"/>
      <c r="D54" s="352"/>
      <c r="E54" s="352"/>
      <c r="F54" s="352"/>
      <c r="G54" s="352"/>
      <c r="H54" s="352"/>
      <c r="I54" s="352"/>
      <c r="J54" s="348"/>
      <c r="K54" s="349">
        <f t="shared" ref="K54:K56" si="22">SUM(C54:J54)</f>
        <v>0</v>
      </c>
      <c r="L54" s="273"/>
    </row>
    <row r="55" spans="1:19" s="15" customFormat="1" ht="15.5" x14ac:dyDescent="0.3">
      <c r="A55" s="262" t="s">
        <v>402</v>
      </c>
      <c r="B55" s="347"/>
      <c r="C55" s="530"/>
      <c r="D55" s="352"/>
      <c r="E55" s="352"/>
      <c r="F55" s="352"/>
      <c r="G55" s="352"/>
      <c r="H55" s="352"/>
      <c r="I55" s="352"/>
      <c r="J55" s="348"/>
      <c r="K55" s="349">
        <f t="shared" si="22"/>
        <v>0</v>
      </c>
      <c r="L55" s="273"/>
    </row>
    <row r="56" spans="1:19" s="15" customFormat="1" ht="15.5" x14ac:dyDescent="0.3">
      <c r="A56" s="262" t="s">
        <v>403</v>
      </c>
      <c r="B56" s="347"/>
      <c r="C56" s="352"/>
      <c r="D56" s="352"/>
      <c r="E56" s="352"/>
      <c r="F56" s="352"/>
      <c r="G56" s="352"/>
      <c r="H56" s="352"/>
      <c r="I56" s="352"/>
      <c r="J56" s="348"/>
      <c r="K56" s="349">
        <f t="shared" si="22"/>
        <v>0</v>
      </c>
      <c r="L56" s="273"/>
    </row>
    <row r="57" spans="1:19" s="417" customFormat="1" ht="18" x14ac:dyDescent="0.3">
      <c r="A57" s="434" t="s">
        <v>386</v>
      </c>
      <c r="B57" s="435"/>
      <c r="C57" s="436">
        <f>C52-C53+C54+C56-C55</f>
        <v>0</v>
      </c>
      <c r="D57" s="436">
        <f t="shared" ref="D57:J57" si="23">D52-D53+D54+D56-D55</f>
        <v>0</v>
      </c>
      <c r="E57" s="436">
        <f t="shared" si="23"/>
        <v>0</v>
      </c>
      <c r="F57" s="436">
        <f t="shared" si="23"/>
        <v>0</v>
      </c>
      <c r="G57" s="436">
        <f t="shared" si="23"/>
        <v>0</v>
      </c>
      <c r="H57" s="436">
        <f t="shared" si="23"/>
        <v>0</v>
      </c>
      <c r="I57" s="436">
        <f t="shared" si="23"/>
        <v>0</v>
      </c>
      <c r="J57" s="436">
        <f t="shared" si="23"/>
        <v>0</v>
      </c>
      <c r="K57" s="437">
        <f>SUM(C57:J57)</f>
        <v>0</v>
      </c>
      <c r="L57" s="519"/>
    </row>
    <row r="58" spans="1:19" s="15" customFormat="1" ht="15.5" x14ac:dyDescent="0.3">
      <c r="A58" s="262" t="s">
        <v>357</v>
      </c>
      <c r="B58" s="347"/>
      <c r="C58" s="346"/>
      <c r="D58" s="346"/>
      <c r="E58" s="346"/>
      <c r="F58" s="346"/>
      <c r="G58" s="346"/>
      <c r="H58" s="346"/>
      <c r="I58" s="346"/>
      <c r="J58" s="348"/>
      <c r="K58" s="349">
        <f>SUM(C58:J58)</f>
        <v>0</v>
      </c>
      <c r="L58" s="273"/>
    </row>
    <row r="59" spans="1:19" s="417" customFormat="1" ht="18" x14ac:dyDescent="0.3">
      <c r="A59" s="438" t="s">
        <v>329</v>
      </c>
      <c r="B59" s="439"/>
      <c r="C59" s="440">
        <f t="shared" ref="C59:J59" si="24">C57-C58</f>
        <v>0</v>
      </c>
      <c r="D59" s="440">
        <f t="shared" si="24"/>
        <v>0</v>
      </c>
      <c r="E59" s="440">
        <f t="shared" si="24"/>
        <v>0</v>
      </c>
      <c r="F59" s="440">
        <f t="shared" si="24"/>
        <v>0</v>
      </c>
      <c r="G59" s="440">
        <f t="shared" si="24"/>
        <v>0</v>
      </c>
      <c r="H59" s="440">
        <f t="shared" si="24"/>
        <v>0</v>
      </c>
      <c r="I59" s="440">
        <f t="shared" ref="I59" si="25">I57-I58</f>
        <v>0</v>
      </c>
      <c r="J59" s="441">
        <f t="shared" si="24"/>
        <v>0</v>
      </c>
      <c r="K59" s="437">
        <f>SUM(C59:J59)</f>
        <v>0</v>
      </c>
      <c r="L59" s="519"/>
    </row>
    <row r="60" spans="1:19" s="446" customFormat="1" ht="18.5" thickBot="1" x14ac:dyDescent="0.35">
      <c r="A60" s="442" t="s">
        <v>358</v>
      </c>
      <c r="B60" s="443"/>
      <c r="C60" s="444">
        <f>C59</f>
        <v>0</v>
      </c>
      <c r="D60" s="444">
        <f t="shared" ref="D60:I60" si="26">C60+D59</f>
        <v>0</v>
      </c>
      <c r="E60" s="444">
        <f t="shared" si="26"/>
        <v>0</v>
      </c>
      <c r="F60" s="444">
        <f t="shared" si="26"/>
        <v>0</v>
      </c>
      <c r="G60" s="444">
        <f t="shared" si="26"/>
        <v>0</v>
      </c>
      <c r="H60" s="444">
        <f t="shared" si="26"/>
        <v>0</v>
      </c>
      <c r="I60" s="444">
        <f t="shared" si="26"/>
        <v>0</v>
      </c>
      <c r="J60" s="445">
        <f>H60+J59</f>
        <v>0</v>
      </c>
      <c r="K60" s="445"/>
      <c r="L60" s="519"/>
      <c r="S60" s="417"/>
    </row>
    <row r="61" spans="1:19" s="15" customFormat="1" ht="16" thickTop="1" x14ac:dyDescent="0.3">
      <c r="A61" s="261"/>
      <c r="B61" s="261"/>
      <c r="C61" s="358"/>
      <c r="D61" s="358"/>
      <c r="E61" s="358"/>
      <c r="F61" s="358"/>
      <c r="G61" s="358"/>
      <c r="H61" s="358"/>
      <c r="I61" s="357"/>
      <c r="L61" s="4"/>
    </row>
    <row r="62" spans="1:19" s="18" customFormat="1" ht="15.5" hidden="1" x14ac:dyDescent="0.35">
      <c r="A62" s="359" t="s">
        <v>359</v>
      </c>
      <c r="B62" s="360" t="s">
        <v>360</v>
      </c>
      <c r="C62" s="360"/>
      <c r="D62" s="360"/>
      <c r="E62" s="360"/>
      <c r="F62" s="360"/>
      <c r="G62" s="360"/>
      <c r="H62" s="360"/>
      <c r="I62" s="360"/>
      <c r="J62" s="360"/>
      <c r="L62" s="515"/>
    </row>
    <row r="63" spans="1:19" s="18" customFormat="1" ht="15.5" hidden="1" x14ac:dyDescent="0.35">
      <c r="A63" s="18" t="s">
        <v>361</v>
      </c>
      <c r="B63" s="361">
        <v>0</v>
      </c>
      <c r="C63" s="413">
        <f>(C16+C16*$B$63)</f>
        <v>0</v>
      </c>
      <c r="D63" s="413">
        <f t="shared" ref="D63:J63" si="27">(D16+D16*$B$63)</f>
        <v>0</v>
      </c>
      <c r="E63" s="413">
        <f t="shared" si="27"/>
        <v>0</v>
      </c>
      <c r="F63" s="413">
        <f t="shared" si="27"/>
        <v>0</v>
      </c>
      <c r="G63" s="413">
        <f t="shared" si="27"/>
        <v>0</v>
      </c>
      <c r="H63" s="413">
        <f t="shared" si="27"/>
        <v>0</v>
      </c>
      <c r="I63" s="413">
        <f t="shared" si="27"/>
        <v>0</v>
      </c>
      <c r="J63" s="413">
        <f t="shared" si="27"/>
        <v>0</v>
      </c>
      <c r="L63" s="515"/>
    </row>
    <row r="64" spans="1:19" s="18" customFormat="1" ht="15.5" hidden="1" x14ac:dyDescent="0.35">
      <c r="A64" s="18" t="s">
        <v>362</v>
      </c>
      <c r="B64" s="361">
        <v>0</v>
      </c>
      <c r="C64" s="413">
        <f t="shared" ref="C64:J64" si="28">C26+C26*$B$64</f>
        <v>0</v>
      </c>
      <c r="D64" s="413">
        <f t="shared" si="28"/>
        <v>0</v>
      </c>
      <c r="E64" s="413">
        <f t="shared" si="28"/>
        <v>0</v>
      </c>
      <c r="F64" s="413">
        <f t="shared" si="28"/>
        <v>0</v>
      </c>
      <c r="G64" s="413">
        <f t="shared" si="28"/>
        <v>0</v>
      </c>
      <c r="H64" s="413">
        <f t="shared" si="28"/>
        <v>0</v>
      </c>
      <c r="I64" s="413">
        <f t="shared" si="28"/>
        <v>0</v>
      </c>
      <c r="J64" s="413">
        <f t="shared" si="28"/>
        <v>0</v>
      </c>
      <c r="L64" s="515"/>
    </row>
    <row r="65" spans="1:12" s="18" customFormat="1" ht="15.5" hidden="1" x14ac:dyDescent="0.35">
      <c r="A65" s="18" t="s">
        <v>363</v>
      </c>
      <c r="B65" s="361">
        <v>0</v>
      </c>
      <c r="C65" s="413">
        <f t="shared" ref="C65:J65" si="29">C36+C36*$B$65</f>
        <v>0</v>
      </c>
      <c r="D65" s="413">
        <f t="shared" si="29"/>
        <v>0</v>
      </c>
      <c r="E65" s="413">
        <f t="shared" si="29"/>
        <v>0</v>
      </c>
      <c r="F65" s="413">
        <f t="shared" si="29"/>
        <v>0</v>
      </c>
      <c r="G65" s="413">
        <f t="shared" si="29"/>
        <v>0</v>
      </c>
      <c r="H65" s="413">
        <f t="shared" si="29"/>
        <v>0</v>
      </c>
      <c r="I65" s="413">
        <f t="shared" si="29"/>
        <v>0</v>
      </c>
      <c r="J65" s="413">
        <f t="shared" si="29"/>
        <v>0</v>
      </c>
      <c r="L65" s="515"/>
    </row>
    <row r="66" spans="1:12" s="18" customFormat="1" ht="15.5" hidden="1" x14ac:dyDescent="0.35">
      <c r="A66" s="18" t="s">
        <v>364</v>
      </c>
      <c r="B66" s="361">
        <v>0</v>
      </c>
      <c r="C66" s="413">
        <f>C39+C39*$B$66</f>
        <v>0</v>
      </c>
      <c r="D66" s="413">
        <f>D39+D39*$B$66</f>
        <v>0</v>
      </c>
      <c r="E66" s="413">
        <f t="shared" ref="E66:J66" si="30">E39+E39*$B$66</f>
        <v>0</v>
      </c>
      <c r="F66" s="413">
        <f t="shared" si="30"/>
        <v>0</v>
      </c>
      <c r="G66" s="413">
        <f t="shared" si="30"/>
        <v>0</v>
      </c>
      <c r="H66" s="413">
        <f t="shared" si="30"/>
        <v>0</v>
      </c>
      <c r="I66" s="413">
        <f t="shared" si="30"/>
        <v>0</v>
      </c>
      <c r="J66" s="413">
        <f t="shared" si="30"/>
        <v>0</v>
      </c>
      <c r="L66" s="515"/>
    </row>
    <row r="67" spans="1:12" s="18" customFormat="1" ht="16" hidden="1" thickBot="1" x14ac:dyDescent="0.4">
      <c r="A67" s="362" t="s">
        <v>329</v>
      </c>
      <c r="B67" s="363"/>
      <c r="C67" s="414">
        <f>C63-C64-C65-C66-C51-C53+C54-C55+C56-C58</f>
        <v>0</v>
      </c>
      <c r="D67" s="414">
        <f t="shared" ref="D67:J67" si="31">D63-D64-D65-D66-D51-D53+D54-D55+D56-D58</f>
        <v>0</v>
      </c>
      <c r="E67" s="414">
        <f t="shared" si="31"/>
        <v>0</v>
      </c>
      <c r="F67" s="414">
        <f t="shared" si="31"/>
        <v>0</v>
      </c>
      <c r="G67" s="414">
        <f t="shared" si="31"/>
        <v>0</v>
      </c>
      <c r="H67" s="414">
        <f t="shared" si="31"/>
        <v>0</v>
      </c>
      <c r="I67" s="414">
        <f t="shared" ref="I67" si="32">I63-I64-I65-I66-I51-I53+I54-I55+I56-I58</f>
        <v>0</v>
      </c>
      <c r="J67" s="414">
        <f t="shared" si="31"/>
        <v>0</v>
      </c>
      <c r="L67" s="515"/>
    </row>
    <row r="68" spans="1:12" s="12" customFormat="1" ht="15.5" x14ac:dyDescent="0.35">
      <c r="L68" s="263"/>
    </row>
  </sheetData>
  <sheetProtection sheet="1" formatCells="0"/>
  <mergeCells count="2">
    <mergeCell ref="A10:K10"/>
    <mergeCell ref="A11:I11"/>
  </mergeCells>
  <conditionalFormatting sqref="B3:B8">
    <cfRule type="cellIs" dxfId="50" priority="1" operator="equal">
      <formula>"sélectionner"</formula>
    </cfRule>
  </conditionalFormatting>
  <dataValidations count="1">
    <dataValidation type="list" allowBlank="1" showInputMessage="1" showErrorMessage="1" sqref="B5" xr:uid="{00000000-0002-0000-0000-000000000000}">
      <formula1>INDIRECT(B4)</formula1>
    </dataValidation>
  </dataValidations>
  <pageMargins left="0.70866141732283472" right="0.70866141732283472" top="0.78740157480314965" bottom="0.78740157480314965" header="0.31496062992125984" footer="0.31496062992125984"/>
  <pageSetup paperSize="9" scale="38" fitToWidth="0" fitToHeight="0" orientation="landscape" r:id="rId1"/>
  <ignoredErrors>
    <ignoredError sqref="M16:O58"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'Dropdown input'!$D$37:$D$39</xm:f>
          </x14:formula1>
          <xm:sqref>B6</xm:sqref>
        </x14:dataValidation>
        <x14:dataValidation type="list" allowBlank="1" showInputMessage="1" showErrorMessage="1" xr:uid="{00000000-0002-0000-0000-000002000000}">
          <x14:formula1>
            <xm:f>'Dropdown input'!$B$37:$B$39</xm:f>
          </x14:formula1>
          <xm:sqref>B8</xm:sqref>
        </x14:dataValidation>
        <x14:dataValidation type="list" allowBlank="1" showInputMessage="1" showErrorMessage="1" xr:uid="{00000000-0002-0000-0000-000003000000}">
          <x14:formula1>
            <xm:f>'Dropdown input'!$D$42:$D$44</xm:f>
          </x14:formula1>
          <xm:sqref>B3</xm:sqref>
        </x14:dataValidation>
        <x14:dataValidation type="list" allowBlank="1" showInputMessage="1" showErrorMessage="1" xr:uid="{00000000-0002-0000-0000-000004000000}">
          <x14:formula1>
            <xm:f>'Dropdown input'!$B$42:$B$44</xm:f>
          </x14:formula1>
          <xm:sqref>B7</xm:sqref>
        </x14:dataValidation>
        <x14:dataValidation type="list" allowBlank="1" showInputMessage="1" showErrorMessage="1" xr:uid="{00000000-0002-0000-0000-000005000000}">
          <x14:formula1>
            <xm:f>'Dropdown input'!$B$27:$G$27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J67"/>
  <sheetViews>
    <sheetView showGridLines="0" zoomScale="70" zoomScaleNormal="70" zoomScaleSheetLayoutView="80" workbookViewId="0">
      <selection activeCell="A2" sqref="A2"/>
    </sheetView>
  </sheetViews>
  <sheetFormatPr baseColWidth="10" defaultColWidth="11" defaultRowHeight="15.5" outlineLevelRow="1" x14ac:dyDescent="0.3"/>
  <cols>
    <col min="1" max="1" width="28.58203125" style="4" customWidth="1"/>
    <col min="2" max="2" width="16.5" style="15" customWidth="1"/>
    <col min="3" max="3" width="14" style="15" customWidth="1"/>
    <col min="4" max="4" width="21.08203125" style="15" customWidth="1"/>
    <col min="5" max="5" width="13.08203125" style="15" customWidth="1"/>
    <col min="6" max="6" width="14.83203125" style="15" customWidth="1"/>
    <col min="7" max="7" width="16.25" style="15" customWidth="1"/>
    <col min="8" max="8" width="15.08203125" style="15" customWidth="1"/>
    <col min="9" max="9" width="16.5" style="15" customWidth="1"/>
    <col min="10" max="10" width="18.58203125" style="15" customWidth="1"/>
    <col min="11" max="11" width="11.83203125" style="15" customWidth="1"/>
    <col min="12" max="12" width="14.83203125" style="15" customWidth="1"/>
    <col min="13" max="13" width="11.83203125" style="15" customWidth="1"/>
    <col min="14" max="14" width="14.75" style="15" customWidth="1"/>
    <col min="15" max="15" width="11.83203125" style="15" customWidth="1"/>
    <col min="16" max="16" width="12.5" style="15" customWidth="1"/>
    <col min="17" max="17" width="11.83203125" style="15" customWidth="1"/>
    <col min="18" max="18" width="13.75" style="15" customWidth="1"/>
    <col min="19" max="19" width="14.83203125" style="15" customWidth="1"/>
    <col min="20" max="20" width="15.5" style="15" customWidth="1"/>
    <col min="21" max="21" width="12.5" style="15" customWidth="1"/>
    <col min="22" max="22" width="13.08203125" style="15" customWidth="1"/>
    <col min="23" max="23" width="11.33203125" style="15" bestFit="1" customWidth="1"/>
    <col min="24" max="24" width="14.08203125" style="15" customWidth="1"/>
    <col min="25" max="25" width="15.33203125" style="4" customWidth="1"/>
    <col min="26" max="26" width="16.83203125" style="15" customWidth="1"/>
    <col min="27" max="27" width="18.33203125" style="15" customWidth="1"/>
    <col min="28" max="28" width="16.83203125" style="15" customWidth="1"/>
    <col min="29" max="29" width="17" style="15" customWidth="1"/>
    <col min="30" max="30" width="19.58203125" style="15" customWidth="1"/>
    <col min="31" max="31" width="16.58203125" style="15" customWidth="1"/>
    <col min="32" max="32" width="18" style="15" customWidth="1"/>
    <col min="33" max="16384" width="11" style="15"/>
  </cols>
  <sheetData>
    <row r="1" spans="1:36" s="253" customFormat="1" ht="23.5" customHeight="1" x14ac:dyDescent="0.3">
      <c r="A1" s="342" t="s">
        <v>390</v>
      </c>
      <c r="B1" s="251"/>
      <c r="C1" s="251"/>
      <c r="D1" s="251"/>
      <c r="E1" s="251"/>
      <c r="F1" s="251"/>
      <c r="G1" s="251"/>
      <c r="H1" s="251"/>
      <c r="I1" s="251"/>
      <c r="J1" s="251"/>
      <c r="K1" s="251"/>
      <c r="L1" s="251"/>
      <c r="M1" s="251"/>
      <c r="N1" s="251"/>
      <c r="O1" s="251"/>
      <c r="P1" s="251"/>
      <c r="Q1" s="251"/>
      <c r="R1" s="251"/>
      <c r="S1" s="251"/>
      <c r="T1" s="251"/>
      <c r="U1" s="251"/>
      <c r="V1" s="251"/>
      <c r="W1" s="251"/>
      <c r="X1" s="251"/>
      <c r="Y1" s="252"/>
      <c r="Z1" s="251"/>
      <c r="AA1" s="251"/>
      <c r="AB1" s="251"/>
      <c r="AC1" s="251"/>
      <c r="AD1" s="251"/>
      <c r="AE1" s="251"/>
      <c r="AF1" s="251"/>
    </row>
    <row r="2" spans="1:36" ht="37" customHeight="1" x14ac:dyDescent="0.3">
      <c r="A2" s="335" t="s">
        <v>296</v>
      </c>
      <c r="B2" s="275" t="s">
        <v>297</v>
      </c>
      <c r="C2" s="15" t="s">
        <v>298</v>
      </c>
      <c r="H2" s="17"/>
      <c r="L2" s="276"/>
    </row>
    <row r="4" spans="1:36" s="418" customFormat="1" ht="18" x14ac:dyDescent="0.3">
      <c r="A4" s="419" t="s">
        <v>431</v>
      </c>
      <c r="B4" s="415"/>
      <c r="C4" s="415"/>
      <c r="D4" s="415"/>
      <c r="E4" s="415"/>
      <c r="F4" s="415"/>
      <c r="G4" s="415"/>
      <c r="H4" s="415"/>
      <c r="I4" s="415"/>
      <c r="J4" s="416"/>
      <c r="K4" s="415"/>
      <c r="L4" s="415"/>
      <c r="M4" s="415"/>
      <c r="N4" s="415"/>
      <c r="O4" s="415"/>
      <c r="P4" s="415"/>
      <c r="Q4" s="415"/>
      <c r="R4" s="415"/>
      <c r="S4" s="415"/>
      <c r="T4" s="415"/>
      <c r="U4" s="415"/>
      <c r="V4" s="415"/>
      <c r="W4" s="415"/>
      <c r="X4" s="415"/>
      <c r="Y4" s="415"/>
      <c r="Z4" s="415"/>
      <c r="AA4" s="415"/>
      <c r="AB4" s="415"/>
      <c r="AC4" s="415"/>
      <c r="AD4" s="415"/>
      <c r="AE4" s="415"/>
      <c r="AF4" s="415"/>
      <c r="AG4" s="415"/>
      <c r="AH4" s="417"/>
      <c r="AI4" s="417"/>
    </row>
    <row r="5" spans="1:36" s="267" customFormat="1" ht="70.5" customHeight="1" x14ac:dyDescent="0.3">
      <c r="A5" s="535" t="s">
        <v>436</v>
      </c>
      <c r="B5" s="535"/>
      <c r="C5" s="535"/>
      <c r="D5" s="535"/>
      <c r="E5" s="535"/>
      <c r="F5" s="535"/>
      <c r="G5" s="535"/>
      <c r="H5" s="535"/>
      <c r="I5" s="535"/>
      <c r="J5" s="522"/>
      <c r="K5" s="522"/>
      <c r="L5" s="522"/>
      <c r="M5" s="522"/>
      <c r="N5" s="522"/>
      <c r="O5" s="279"/>
      <c r="P5" s="279"/>
      <c r="Q5" s="278"/>
      <c r="R5" s="279"/>
      <c r="S5" s="280"/>
      <c r="T5" s="280"/>
      <c r="U5" s="280"/>
      <c r="V5" s="280"/>
      <c r="W5" s="280"/>
      <c r="X5" s="280"/>
      <c r="Y5" s="280"/>
      <c r="Z5" s="278"/>
      <c r="AA5" s="278"/>
      <c r="AB5" s="278"/>
      <c r="AC5" s="278"/>
      <c r="AD5" s="278"/>
      <c r="AE5" s="278"/>
      <c r="AF5" s="278"/>
      <c r="AG5" s="281"/>
      <c r="AH5" s="281"/>
      <c r="AI5" s="281"/>
      <c r="AJ5" s="281"/>
    </row>
    <row r="6" spans="1:36" s="12" customFormat="1" x14ac:dyDescent="0.35">
      <c r="A6" s="344"/>
      <c r="B6" s="260"/>
      <c r="C6" s="260"/>
      <c r="D6" s="260"/>
      <c r="E6" s="260"/>
      <c r="F6" s="260"/>
      <c r="G6" s="260"/>
      <c r="H6" s="260"/>
      <c r="I6" s="260"/>
      <c r="J6" s="260"/>
      <c r="M6" s="260"/>
      <c r="N6" s="260"/>
      <c r="O6" s="258"/>
      <c r="P6" s="258"/>
      <c r="Q6" s="258"/>
      <c r="R6" s="258"/>
      <c r="S6" s="258"/>
      <c r="T6" s="258"/>
      <c r="U6" s="259"/>
      <c r="V6" s="282" t="s">
        <v>331</v>
      </c>
      <c r="W6" s="258"/>
      <c r="X6" s="258"/>
      <c r="Y6" s="258"/>
      <c r="Z6" s="258"/>
      <c r="AA6" s="258"/>
      <c r="AB6" s="259"/>
      <c r="AC6" s="283" t="s">
        <v>370</v>
      </c>
      <c r="AD6" s="258"/>
      <c r="AE6" s="258"/>
      <c r="AF6" s="258"/>
      <c r="AG6" s="258"/>
      <c r="AH6" s="258"/>
      <c r="AJ6" s="15"/>
    </row>
    <row r="7" spans="1:36" s="4" customFormat="1" ht="84.65" customHeight="1" x14ac:dyDescent="0.3">
      <c r="A7" s="284" t="s">
        <v>300</v>
      </c>
      <c r="B7" s="285" t="s">
        <v>301</v>
      </c>
      <c r="C7" s="285" t="s">
        <v>302</v>
      </c>
      <c r="D7" s="285" t="s">
        <v>303</v>
      </c>
      <c r="E7" s="286" t="s">
        <v>304</v>
      </c>
      <c r="F7" s="287" t="s">
        <v>305</v>
      </c>
      <c r="G7" s="288" t="s">
        <v>306</v>
      </c>
      <c r="H7" s="289" t="s">
        <v>307</v>
      </c>
      <c r="I7" s="288" t="s">
        <v>308</v>
      </c>
      <c r="J7" s="290" t="s">
        <v>371</v>
      </c>
      <c r="K7" s="296" t="s">
        <v>310</v>
      </c>
      <c r="L7" s="462" t="s">
        <v>404</v>
      </c>
      <c r="M7" s="291" t="s">
        <v>309</v>
      </c>
      <c r="N7" s="290" t="s">
        <v>372</v>
      </c>
      <c r="O7" s="447" t="s">
        <v>389</v>
      </c>
      <c r="P7" s="448" t="s">
        <v>387</v>
      </c>
      <c r="Q7" s="457" t="s">
        <v>311</v>
      </c>
      <c r="R7" s="292" t="s">
        <v>299</v>
      </c>
      <c r="S7" s="293" t="s">
        <v>375</v>
      </c>
      <c r="T7" s="293" t="s">
        <v>312</v>
      </c>
      <c r="U7" s="294" t="s">
        <v>313</v>
      </c>
      <c r="V7" s="295" t="s">
        <v>388</v>
      </c>
      <c r="W7" s="296" t="s">
        <v>314</v>
      </c>
      <c r="X7" s="296" t="s">
        <v>315</v>
      </c>
      <c r="Y7" s="4" t="s">
        <v>287</v>
      </c>
      <c r="Z7" s="287" t="s">
        <v>316</v>
      </c>
      <c r="AA7" s="297" t="s">
        <v>317</v>
      </c>
      <c r="AB7" s="298" t="s">
        <v>318</v>
      </c>
      <c r="AC7" s="299" t="s">
        <v>376</v>
      </c>
      <c r="AD7" s="300" t="s">
        <v>377</v>
      </c>
      <c r="AE7" s="299" t="s">
        <v>378</v>
      </c>
      <c r="AF7" s="300" t="s">
        <v>379</v>
      </c>
      <c r="AG7" s="299" t="s">
        <v>373</v>
      </c>
      <c r="AH7" s="301" t="s">
        <v>374</v>
      </c>
      <c r="AJ7" s="15"/>
    </row>
    <row r="8" spans="1:36" ht="65.5" customHeight="1" x14ac:dyDescent="0.3">
      <c r="A8" s="336" t="s">
        <v>319</v>
      </c>
      <c r="B8" s="302">
        <v>1000000</v>
      </c>
      <c r="C8" s="372" t="s">
        <v>406</v>
      </c>
      <c r="D8" s="369" t="s">
        <v>429</v>
      </c>
      <c r="E8" s="373">
        <f>IF(D8="Investissements collectifs dans l'intérêt de l'ensemble du projet",1,IF(D8="Mise en place d'une branche de production dans l'exploitation agricole",2,IF(D8="ZM: Transformation, stockage et commercialisation en commun de produits agricoles régionaux",3,IF(D8="ZC: Transformation, stockage et commercialisation en commun de produits agricoles régionaux",4,IF(D8="Région de plaine : Transformation, stockage et commercialisation en commun de produits agricoles régionaux",5,IF(D8="Autres mesures dans l'intérêt du projet global (réduction min. 50%)",6,IF(D8="Bâtiments alpestres",7,IF(D8="Construction individuelle d'étables pour animaux consommant des fourrages grossiers",8,IF(D8="Mesures d'améliorations foncières",9,IF(D8="Mesures individuelles contribuant à la protection de l'environnement",10,IF(D8="Mesures individuelles transformation petites entreprises artisanales",11,IF(D8="…veuillez sélectionner la mesure",""))))))))))))</f>
        <v>11</v>
      </c>
      <c r="F8" s="303">
        <v>100000</v>
      </c>
      <c r="G8" s="385">
        <f>B8-F8</f>
        <v>900000</v>
      </c>
      <c r="H8" s="375" t="str">
        <f>IF(E8=1,IF('Compte des résultats'!$B$3="orienté sur la chaîne de création de valeur",'Dropdown input'!$C$8,IF('Compte des résultats'!$B$3="intersectoriel",'Dropdown input'!$D$8, IF('Compte des résultats'!$B$3="sélectionner",""))),IF(E8=2,IF('Compte des résultats'!$B$3="orienté sur la chaîne de création de valeur",'Dropdown input'!$C$9,IF('Compte des résultats'!$B$3="intersectoriel",'Dropdown input'!$D$9, IF('Compte des résultats'!$B$3="sélectionner",""))),IF(E8=3,IF('Compte des résultats'!$B$3="orienté sur la chaîne de création de valeur",'Dropdown input'!$C$10,IF('Compte des résultats'!$B$3="intersectoriel",'Dropdown input'!$D$10, IF('Compte des résultats'!$B$3="sélectionner",""))),IF(E8=4,IF('Compte des résultats'!$B$3="orienté sur la chaîne de création de valeur",'Dropdown input'!$C$11,IF('Compte des résultats'!$B$3="intersectoriel",'Dropdown input'!$D$11, IF('Compte des résultats'!$B$3="sélectionner",""))),IF(E8=5,IF('Compte des résultats'!$B$3="orienté sur la chaîne de création de valeur",'Dropdown input'!$C$12,IF('Compte des résultats'!$B$3="intersectoriel",'Dropdown input'!$D$12, IF('Compte des résultats'!$B$3="sélectionner",""))),IF(E8=6,IF('Compte des résultats'!$B$3="orienté sur la chaîne de création de valeur",'Dropdown input'!$C$13,IF('Compte des résultats'!$B$3="intersectoriel",'Dropdown input'!$D$13, IF('Compte des résultats'!$B$3="sélectionner",""))),IF(E8=7,IF('Compte des résultats'!$B$3="orienté sur la chaîne de création de valeur",'Dropdown input'!$C$14,IF('Compte des résultats'!$B$3="intersectoriel",'Dropdown input'!$D$14, IF('Compte des résultats'!$B$3="sélectionner",""))),IF(E8=8,IF('Compte des résultats'!$B$3="orienté sur la chaîne de création de valeur",'Dropdown input'!$C$15,IF('Compte des résultats'!$B$3="intersectoriel",'Dropdown input'!$D$15, IF('Compte des résultats'!$B$3="sélectionner",""))),IF(E8=9,IF('Compte des résultats'!$B$3="orienté sur la chaîne de création de valeur",'Dropdown input'!$C$16,IF('Compte des résultats'!$B$3="intersectoriel",'Dropdown input'!$D$16, IF('Compte des résultats'!$B$3="sélectionner",""))),IF(E8=10,IF('Compte des résultats'!$B$3="orienté sur la chaîne de création de valeur",'Dropdown input'!$C$17,IF('Compte des résultats'!$B$3="intersectoriel",'Dropdown input'!$D$17, IF('Compte des résultats'!$B$3="sélectionner",""))),IF(E8=11,IF('Compte des résultats'!$B$3="orienté sur la chaîne de création de valeur",'Dropdown input'!$C$18,IF('Compte des résultats'!$B$3="intersectoriel",'Dropdown input'!$D$18, IF('Compte des résultats'!$B$3="sélectionner",""))),IF(E8="",""))))))))))))</f>
        <v/>
      </c>
      <c r="I8" s="374" t="str">
        <f>IFERROR(G8-G8*H8,"")</f>
        <v/>
      </c>
      <c r="J8" s="376">
        <f>IF(E8=1,(IF(C8="Plaine",34%,IF(C8="ZC / ZM I",37%,IF(C8="ZM II - IV, région d'estivage",40%,)))),IF(E8=2,(IF(C8="Plaine",34%,IF(C8="ZC / ZM I",37%,IF(C8="ZM II - IV, région d'estivage",40%,)))),IF(E8=3,22%,IF(E8=4,37%,IF(E8=5,34%,IF(E8=6,(IF(C8="Plaine",34%,IF(C8="ZC / ZM I",37%,IF(C8="ZM II - IV, région d'estivage",40%,)))),IF(E8=7,"N/A",IF(E8=8,"N/A",IF(E8=9,"veuillez clarifier spécifiquement avec l'OFAG",IF(E8=10,"N/A",IF(E8=11,22%,IF(E8="",""))))))))))))</f>
        <v>0.22</v>
      </c>
      <c r="K8" s="507">
        <f>IF(E8=1,'Dropdown input'!$I$8,IF(E8=2,'Dropdown input'!$I$9,IF(E8=3,'Dropdown input'!$I$10,IF(E8=4,'Dropdown input'!$I$10,IF(E8=5,'Dropdown input'!$I$12,IF(E8=6,'Dropdown input'!$I$13,IF(E8=7,'Dropdown input'!$I$14,IF(E8=8,'Dropdown input'!$I$15,IF(E8=9,"veuillez clarifier spécifiquement avec l'OFAG",IF(E8=11,'Dropdown input'!$I$18,IF(E8=10,'Dropdown input'!$I$17,"")))))))))))</f>
        <v>1</v>
      </c>
      <c r="L8" s="453" t="str">
        <f t="shared" ref="L8:L16" si="0">IFERROR(IF(J8="N/A","reprendre du modèle bâtiments ruraux",I8*K8*J8),"")</f>
        <v/>
      </c>
      <c r="M8" s="377" t="str">
        <f>IF(E8=1,IF('Compte des résultats'!$B$3="orienté sur la chaîne de création de valeur",'Dropdown input'!$E$8,IF('Compte des résultats'!$B$3="intersectoriel",'Dropdown input'!$F$8,IF('Compte des résultats'!$B$3="sélectionner",""))),IF(E8=2,IF('Compte des résultats'!$B$3="orienté sur la chaîne de création de valeur",'Dropdown input'!$E$9,IF('Compte des résultats'!$B$3="intersectoriel",'Dropdown input'!$F$9,IF('Compte des résultats'!$B$3="sélectionner",""))),IF(E8=3,IF('Compte des résultats'!$B$3="orienté sur la chaîne de création de valeur",'Dropdown input'!$E$10,IF('Compte des résultats'!$B$3="intersectoriel",'Dropdown input'!$F$10,IF('Compte des résultats'!$B$3="sélectionner",""))),IF(E8=4,IF('Compte des résultats'!$B$3="orienté sur la chaîne de création de valeur",'Dropdown input'!$E$11,IF('Compte des résultats'!$B$3="intersectoriel",'Dropdown input'!$F$11,IF('Compte des résultats'!$B$3="sélectionner",""))),IF(E8=5,IF('Compte des résultats'!$B$3="orienté sur la chaîne de création de valeur",'Dropdown input'!$E$12,IF('Compte des résultats'!$B$3="intersectoriel",'Dropdown input'!$F$12,IF('Compte des résultats'!$B$3="sélectionner",""))),IF(E8=6,IF('Compte des résultats'!$B$3="orienté sur la chaîne de création de valeur",'Dropdown input'!$E$13,IF('Compte des résultats'!$B$3="intersectoriel",'Dropdown input'!$F$13,IF('Compte des résultats'!$B$3="sélectionner",""))),IF(E8=7,IF('Compte des résultats'!$B$3="orienté sur la chaîne de création de valeur",'Dropdown input'!$E$14,IF('Compte des résultats'!$B$3="intersectoriel",'Dropdown input'!$F$14,IF('Compte des résultats'!$B$3="sélectionner",""))),IF(E8=8,IF('Compte des résultats'!$B$3="orienté sur la chaîne de création de valeur",'Dropdown input'!$E$15,IF('Compte des résultats'!$B$3="intersectoriel",'Dropdown input'!$F$15,IF('Compte des résultats'!$B$3="sélectionner",""))),IF(E8=9,IF('Compte des résultats'!$B$3="orienté sur la chaîne de création de valeur",'Dropdown input'!$E$16,IF('Compte des résultats'!$B$3="intersectoriel",'Dropdown input'!$F$16,IF('Compte des résultats'!$B$3="sélectionner",""))),IF(E8=10,IF('Compte des résultats'!$B$3="orienté sur la chaîne de création de valeur",'Dropdown input'!$E$17,IF('Compte des résultats'!$B$3="intersectoriel",'Dropdown input'!$F$17,IF('Compte des résultats'!$B$3="sélectionner",""))),IF(E8=11,IF('Compte des résultats'!$B$3="orienté sur la chaîne de création de valeur",'Dropdown input'!$E$18,IF('Compte des résultats'!$B$3="intersectoriel",'Dropdown input'!$F$18,IF('Compte des résultats'!$B$3="sélectionner",""))),IF(E8="",""))))))))))))</f>
        <v/>
      </c>
      <c r="N8" s="378" t="str">
        <f>IFERROR(IF(J8="N/A",(L8/(K8*I8))*M8+(L8/(K8*I8)),J8+J8*M8),"")</f>
        <v/>
      </c>
      <c r="O8" s="331" t="str">
        <f t="shared" ref="O8:O16" si="1">IFERROR(I8*(K8*N8),"")</f>
        <v/>
      </c>
      <c r="P8" s="452"/>
      <c r="Q8" s="458" t="str">
        <f>IFERROR((P8+O8)/I8,"")</f>
        <v/>
      </c>
      <c r="R8" s="304" t="str">
        <f>IFERROR(IF(Q8&lt;K8*N8,Q8/K8,N8),"")</f>
        <v/>
      </c>
      <c r="S8" s="305" t="str">
        <f>IFERROR(R8*I8,"")</f>
        <v/>
      </c>
      <c r="T8" s="449" t="str">
        <f>IFERROR(O8+S8+P8,"")</f>
        <v/>
      </c>
      <c r="U8" s="306" t="str">
        <f t="shared" ref="U8:U16" si="2">IFERROR(T8/B8,"")</f>
        <v/>
      </c>
      <c r="V8" s="307"/>
      <c r="W8" s="308"/>
      <c r="X8" s="308"/>
      <c r="Y8" s="308"/>
      <c r="Z8" s="380" t="str">
        <f t="shared" ref="Z8:Z16" si="3">IFERROR(B8-V8-W8-X8-Y8-T8,"")</f>
        <v/>
      </c>
      <c r="AA8" s="381">
        <f>SUM(V8:Z8)</f>
        <v>0</v>
      </c>
      <c r="AB8" s="382" t="str">
        <f t="shared" ref="AB8:AB17" si="4">IFERROR(IF(AA8=(B8-T8),"financement=coûts d'investissement","!"),"N/A")</f>
        <v>N/A</v>
      </c>
      <c r="AC8" s="307"/>
      <c r="AD8" s="303"/>
      <c r="AE8" s="307"/>
      <c r="AF8" s="303"/>
      <c r="AG8" s="307"/>
      <c r="AH8" s="307"/>
    </row>
    <row r="9" spans="1:36" ht="48.65" customHeight="1" x14ac:dyDescent="0.3">
      <c r="A9" s="337" t="s">
        <v>320</v>
      </c>
      <c r="B9" s="309"/>
      <c r="C9" s="383" t="s">
        <v>321</v>
      </c>
      <c r="D9" s="384" t="s">
        <v>321</v>
      </c>
      <c r="E9" s="373" t="str">
        <f t="shared" ref="E9:E15" si="5">IF(D9="Investissements collectifs dans l'intérêt de l'ensemble du projet",1,IF(D9="Mise en place d'une branche de production dans l'exploitation agricole",2,IF(D9="ZM: Transformation, stockage et commercialisation en commun de produits agricoles régionaux",3,IF(D9="ZC: Transformation, stockage et commercialisation en commun de produits agricoles régionaux",4,IF(D9="Région de plaine : Transformation, stockage et commercialisation en commun de produits agricoles régionaux",5,IF(D9="Autres mesures dans l'intérêt du projet global (réduction min. 50%)",6,IF(D9="Bâtiments alpestres",7,IF(D9="Construction individuelle d'étables pour animaux consommant des fourrages grossiers",8,IF(D9="Mesures d'améliorations foncières",9,IF(D9="Mesures individuelles contribuant à la protection de l'environnement",10,IF(D9="Mesures individuelles transformation petites entreprises artisanales",11,IF(D9="…veuillez sélectionner la mesure",""))))))))))))</f>
        <v/>
      </c>
      <c r="F9" s="310"/>
      <c r="G9" s="385">
        <f t="shared" ref="G9:G16" si="6">B9-F9</f>
        <v>0</v>
      </c>
      <c r="H9" s="375" t="str">
        <f>IF(E9=1,IF('Compte des résultats'!$B$3="orienté sur la chaîne de création de valeur",'Dropdown input'!$C$8,IF('Compte des résultats'!$B$3="intersectoriel",'Dropdown input'!$D$8, IF('Compte des résultats'!$B$3="sélectionner",""))),IF(E9=2,IF('Compte des résultats'!$B$3="orienté sur la chaîne de création de valeur",'Dropdown input'!$C$9,IF('Compte des résultats'!$B$3="intersectoriel",'Dropdown input'!$D$9, IF('Compte des résultats'!$B$3="sélectionner",""))),IF(E9=3,IF('Compte des résultats'!$B$3="orienté sur la chaîne de création de valeur",'Dropdown input'!$C$10,IF('Compte des résultats'!$B$3="intersectoriel",'Dropdown input'!$D$10, IF('Compte des résultats'!$B$3="sélectionner",""))),IF(E9=4,IF('Compte des résultats'!$B$3="orienté sur la chaîne de création de valeur",'Dropdown input'!$C$11,IF('Compte des résultats'!$B$3="intersectoriel",'Dropdown input'!$D$11, IF('Compte des résultats'!$B$3="sélectionner",""))),IF(E9=5,IF('Compte des résultats'!$B$3="orienté sur la chaîne de création de valeur",'Dropdown input'!$C$12,IF('Compte des résultats'!$B$3="intersectoriel",'Dropdown input'!$D$12, IF('Compte des résultats'!$B$3="sélectionner",""))),IF(E9=6,IF('Compte des résultats'!$B$3="orienté sur la chaîne de création de valeur",'Dropdown input'!$C$13,IF('Compte des résultats'!$B$3="intersectoriel",'Dropdown input'!$D$13, IF('Compte des résultats'!$B$3="sélectionner",""))),IF(E9=7,IF('Compte des résultats'!$B$3="orienté sur la chaîne de création de valeur",'Dropdown input'!$C$14,IF('Compte des résultats'!$B$3="intersectoriel",'Dropdown input'!$D$14, IF('Compte des résultats'!$B$3="sélectionner",""))),IF(E9=8,IF('Compte des résultats'!$B$3="orienté sur la chaîne de création de valeur",'Dropdown input'!$C$15,IF('Compte des résultats'!$B$3="intersectoriel",'Dropdown input'!$D$15, IF('Compte des résultats'!$B$3="sélectionner",""))),IF(E9=9,IF('Compte des résultats'!$B$3="orienté sur la chaîne de création de valeur",'Dropdown input'!$C$16,IF('Compte des résultats'!$B$3="intersectoriel",'Dropdown input'!$D$16, IF('Compte des résultats'!$B$3="sélectionner",""))),IF(E9=10,IF('Compte des résultats'!$B$3="orienté sur la chaîne de création de valeur",'Dropdown input'!$C$17,IF('Compte des résultats'!$B$3="intersectoriel",'Dropdown input'!$D$17, IF('Compte des résultats'!$B$3="sélectionner",""))),IF(E9=11,IF('Compte des résultats'!$B$3="orienté sur la chaîne de création de valeur",'Dropdown input'!$C$18,IF('Compte des résultats'!$B$3="intersectoriel",'Dropdown input'!$D$18, IF('Compte des résultats'!$B$3="sélectionner",""))),IF(E9="",""))))))))))))</f>
        <v/>
      </c>
      <c r="I9" s="385" t="str">
        <f t="shared" ref="I9:I15" si="7">IFERROR(G9-G9*H9,"")</f>
        <v/>
      </c>
      <c r="J9" s="376" t="str">
        <f t="shared" ref="J9:J16" si="8">IF(E9=1,(IF(C9="Plaine",34%,IF(C9="ZC / ZM I",37%,IF(C9="ZM II - IV, région d'estivage",40%,)))),IF(E9=2,(IF(C9="Plaine",34%,IF(C9="ZC / ZM I",37%,IF(C9="ZM II - IV, région d'estivage",40%,)))),IF(E9=3,22%,IF(E9=4,37%,IF(E9=5,34%,IF(E9=6,(IF(C9="Plaine",34%,IF(C9="ZC / ZM I",37%,IF(C9="ZM II - IV, région d'estivage",40%,)))),IF(E9=7,"N/A",IF(E9=8,"N/A",IF(E9=9,"veuillez clarifier spécifiquement avec l'OFAG",IF(E9=10,"N/A",IF(E9=11,22%,IF(E9="",""))))))))))))</f>
        <v/>
      </c>
      <c r="K9" s="507" t="str">
        <f>IF(E9=1,'Dropdown input'!$I$8,IF(E9=2,'Dropdown input'!$I$9,IF(E9=3,'Dropdown input'!$I$10,IF(E9=4,'Dropdown input'!$I$10,IF(E9=5,'Dropdown input'!$I$12,IF(E9=6,'Dropdown input'!$I$13,IF(E9=7,'Dropdown input'!$I$14,IF(E9=8,'Dropdown input'!$I$15,IF(E9=9,"veuillez clarifier spécifiquement avec l'OFAG",IF(E9=11,'Dropdown input'!$I$18,IF(E9=10,'Dropdown input'!$I$17,"")))))))))))</f>
        <v/>
      </c>
      <c r="L9" s="453" t="str">
        <f t="shared" si="0"/>
        <v/>
      </c>
      <c r="M9" s="377" t="str">
        <f>IF(E9=1,IF('Compte des résultats'!$B$3="orienté sur la chaîne de création de valeur",'Dropdown input'!$E$8,IF('Compte des résultats'!$B$3="intersectoriel",'Dropdown input'!$F$8,IF('Compte des résultats'!$B$3="sélectionner",""))),IF(E9=2,IF('Compte des résultats'!$B$3="orienté sur la chaîne de création de valeur",'Dropdown input'!$E$9,IF('Compte des résultats'!$B$3="intersectoriel",'Dropdown input'!$F$9,IF('Compte des résultats'!$B$3="sélectionner",""))),IF(E9=3,IF('Compte des résultats'!$B$3="orienté sur la chaîne de création de valeur",'Dropdown input'!$E$10,IF('Compte des résultats'!$B$3="intersectoriel",'Dropdown input'!$F$10,IF('Compte des résultats'!$B$3="sélectionner",""))),IF(E9=4,IF('Compte des résultats'!$B$3="orienté sur la chaîne de création de valeur",'Dropdown input'!$E$11,IF('Compte des résultats'!$B$3="intersectoriel",'Dropdown input'!$F$11,IF('Compte des résultats'!$B$3="sélectionner",""))),IF(E9=5,IF('Compte des résultats'!$B$3="orienté sur la chaîne de création de valeur",'Dropdown input'!$E$12,IF('Compte des résultats'!$B$3="intersectoriel",'Dropdown input'!$F$12,IF('Compte des résultats'!$B$3="sélectionner",""))),IF(E9=6,IF('Compte des résultats'!$B$3="orienté sur la chaîne de création de valeur",'Dropdown input'!$E$13,IF('Compte des résultats'!$B$3="intersectoriel",'Dropdown input'!$F$13,IF('Compte des résultats'!$B$3="sélectionner",""))),IF(E9=7,IF('Compte des résultats'!$B$3="orienté sur la chaîne de création de valeur",'Dropdown input'!$E$14,IF('Compte des résultats'!$B$3="intersectoriel",'Dropdown input'!$F$14,IF('Compte des résultats'!$B$3="sélectionner",""))),IF(E9=8,IF('Compte des résultats'!$B$3="orienté sur la chaîne de création de valeur",'Dropdown input'!$E$15,IF('Compte des résultats'!$B$3="intersectoriel",'Dropdown input'!$F$15,IF('Compte des résultats'!$B$3="sélectionner",""))),IF(E9=9,IF('Compte des résultats'!$B$3="orienté sur la chaîne de création de valeur",'Dropdown input'!$E$16,IF('Compte des résultats'!$B$3="intersectoriel",'Dropdown input'!$F$16,IF('Compte des résultats'!$B$3="sélectionner",""))),IF(E9=10,IF('Compte des résultats'!$B$3="orienté sur la chaîne de création de valeur",'Dropdown input'!$E$17,IF('Compte des résultats'!$B$3="intersectoriel",'Dropdown input'!$F$17,IF('Compte des résultats'!$B$3="sélectionner",""))),IF(E9=11,IF('Compte des résultats'!$B$3="orienté sur la chaîne de création de valeur",'Dropdown input'!$E$18,IF('Compte des résultats'!$B$3="intersectoriel",'Dropdown input'!$F$18,IF('Compte des résultats'!$B$3="sélectionner",""))),IF(E9="",""))))))))))))</f>
        <v/>
      </c>
      <c r="N9" s="378" t="str">
        <f t="shared" ref="N9:N16" si="9">IFERROR(IF(J9="N/A",(L9/(K9*I9))*M9+(L9/(K9*I9)),J9+J9*M9),"")</f>
        <v/>
      </c>
      <c r="O9" s="332" t="str">
        <f t="shared" si="1"/>
        <v/>
      </c>
      <c r="P9" s="453"/>
      <c r="Q9" s="459" t="str">
        <f t="shared" ref="Q9:Q16" si="10">IFERROR((P9+O9)/I9,"")</f>
        <v/>
      </c>
      <c r="R9" s="311" t="str">
        <f t="shared" ref="R9:R16" si="11">IFERROR(IF(Q9&lt;K9*N9,Q9/K9,N9),"")</f>
        <v/>
      </c>
      <c r="S9" s="312" t="str">
        <f t="shared" ref="S9:S16" si="12">IFERROR(R9*I9,"")</f>
        <v/>
      </c>
      <c r="T9" s="450" t="str">
        <f>IFERROR(O9+S9+P9,"")</f>
        <v/>
      </c>
      <c r="U9" s="306" t="str">
        <f t="shared" si="2"/>
        <v/>
      </c>
      <c r="V9" s="313"/>
      <c r="W9" s="314"/>
      <c r="X9" s="314"/>
      <c r="Y9" s="314"/>
      <c r="Z9" s="386" t="str">
        <f t="shared" si="3"/>
        <v/>
      </c>
      <c r="AA9" s="387">
        <f t="shared" ref="AA9:AA15" si="13">SUM(V9:Z9)</f>
        <v>0</v>
      </c>
      <c r="AB9" s="382" t="str">
        <f t="shared" si="4"/>
        <v>N/A</v>
      </c>
      <c r="AC9" s="313"/>
      <c r="AD9" s="310"/>
      <c r="AE9" s="313"/>
      <c r="AF9" s="310"/>
      <c r="AG9" s="313"/>
      <c r="AH9" s="313"/>
    </row>
    <row r="10" spans="1:36" ht="48.65" customHeight="1" x14ac:dyDescent="0.3">
      <c r="A10" s="337" t="s">
        <v>322</v>
      </c>
      <c r="B10" s="309"/>
      <c r="C10" s="383" t="s">
        <v>321</v>
      </c>
      <c r="D10" s="384" t="s">
        <v>321</v>
      </c>
      <c r="E10" s="373" t="str">
        <f t="shared" si="5"/>
        <v/>
      </c>
      <c r="F10" s="310"/>
      <c r="G10" s="385">
        <f t="shared" si="6"/>
        <v>0</v>
      </c>
      <c r="H10" s="375" t="str">
        <f>IF(E10=1,IF('Compte des résultats'!$B$3="orienté sur la chaîne de création de valeur",'Dropdown input'!$C$8,IF('Compte des résultats'!$B$3="intersectoriel",'Dropdown input'!$D$8, IF('Compte des résultats'!$B$3="sélectionner",""))),IF(E10=2,IF('Compte des résultats'!$B$3="orienté sur la chaîne de création de valeur",'Dropdown input'!$C$9,IF('Compte des résultats'!$B$3="intersectoriel",'Dropdown input'!$D$9, IF('Compte des résultats'!$B$3="sélectionner",""))),IF(E10=3,IF('Compte des résultats'!$B$3="orienté sur la chaîne de création de valeur",'Dropdown input'!$C$10,IF('Compte des résultats'!$B$3="intersectoriel",'Dropdown input'!$D$10, IF('Compte des résultats'!$B$3="sélectionner",""))),IF(E10=4,IF('Compte des résultats'!$B$3="orienté sur la chaîne de création de valeur",'Dropdown input'!$C$11,IF('Compte des résultats'!$B$3="intersectoriel",'Dropdown input'!$D$11, IF('Compte des résultats'!$B$3="sélectionner",""))),IF(E10=5,IF('Compte des résultats'!$B$3="orienté sur la chaîne de création de valeur",'Dropdown input'!$C$12,IF('Compte des résultats'!$B$3="intersectoriel",'Dropdown input'!$D$12, IF('Compte des résultats'!$B$3="sélectionner",""))),IF(E10=6,IF('Compte des résultats'!$B$3="orienté sur la chaîne de création de valeur",'Dropdown input'!$C$13,IF('Compte des résultats'!$B$3="intersectoriel",'Dropdown input'!$D$13, IF('Compte des résultats'!$B$3="sélectionner",""))),IF(E10=7,IF('Compte des résultats'!$B$3="orienté sur la chaîne de création de valeur",'Dropdown input'!$C$14,IF('Compte des résultats'!$B$3="intersectoriel",'Dropdown input'!$D$14, IF('Compte des résultats'!$B$3="sélectionner",""))),IF(E10=8,IF('Compte des résultats'!$B$3="orienté sur la chaîne de création de valeur",'Dropdown input'!$C$15,IF('Compte des résultats'!$B$3="intersectoriel",'Dropdown input'!$D$15, IF('Compte des résultats'!$B$3="sélectionner",""))),IF(E10=9,IF('Compte des résultats'!$B$3="orienté sur la chaîne de création de valeur",'Dropdown input'!$C$16,IF('Compte des résultats'!$B$3="intersectoriel",'Dropdown input'!$D$16, IF('Compte des résultats'!$B$3="sélectionner",""))),IF(E10=10,IF('Compte des résultats'!$B$3="orienté sur la chaîne de création de valeur",'Dropdown input'!$C$17,IF('Compte des résultats'!$B$3="intersectoriel",'Dropdown input'!$D$17, IF('Compte des résultats'!$B$3="sélectionner",""))),IF(E10=11,IF('Compte des résultats'!$B$3="orienté sur la chaîne de création de valeur",'Dropdown input'!$C$18,IF('Compte des résultats'!$B$3="intersectoriel",'Dropdown input'!$D$18, IF('Compte des résultats'!$B$3="sélectionner",""))),IF(E10="",""))))))))))))</f>
        <v/>
      </c>
      <c r="I10" s="385" t="str">
        <f t="shared" si="7"/>
        <v/>
      </c>
      <c r="J10" s="376" t="str">
        <f t="shared" si="8"/>
        <v/>
      </c>
      <c r="K10" s="507" t="str">
        <f>IF(E10=1,'Dropdown input'!$I$8,IF(E10=2,'Dropdown input'!$I$9,IF(E10=3,'Dropdown input'!$I$10,IF(E10=4,'Dropdown input'!$I$10,IF(E10=5,'Dropdown input'!$I$12,IF(E10=6,'Dropdown input'!$I$13,IF(E10=7,'Dropdown input'!$I$14,IF(E10=8,'Dropdown input'!$I$15,IF(E10=9,"veuillez clarifier spécifiquement avec l'OFAG",IF(E10=11,'Dropdown input'!$I$18,IF(E10=10,'Dropdown input'!$I$17,"")))))))))))</f>
        <v/>
      </c>
      <c r="L10" s="453" t="str">
        <f t="shared" si="0"/>
        <v/>
      </c>
      <c r="M10" s="377" t="str">
        <f>IF(E10=1,IF('Compte des résultats'!$B$3="orienté sur la chaîne de création de valeur",'Dropdown input'!$E$8,IF('Compte des résultats'!$B$3="intersectoriel",'Dropdown input'!$F$8,IF('Compte des résultats'!$B$3="sélectionner",""))),IF(E10=2,IF('Compte des résultats'!$B$3="orienté sur la chaîne de création de valeur",'Dropdown input'!$E$9,IF('Compte des résultats'!$B$3="intersectoriel",'Dropdown input'!$F$9,IF('Compte des résultats'!$B$3="sélectionner",""))),IF(E10=3,IF('Compte des résultats'!$B$3="orienté sur la chaîne de création de valeur",'Dropdown input'!$E$10,IF('Compte des résultats'!$B$3="intersectoriel",'Dropdown input'!$F$10,IF('Compte des résultats'!$B$3="sélectionner",""))),IF(E10=4,IF('Compte des résultats'!$B$3="orienté sur la chaîne de création de valeur",'Dropdown input'!$E$11,IF('Compte des résultats'!$B$3="intersectoriel",'Dropdown input'!$F$11,IF('Compte des résultats'!$B$3="sélectionner",""))),IF(E10=5,IF('Compte des résultats'!$B$3="orienté sur la chaîne de création de valeur",'Dropdown input'!$E$12,IF('Compte des résultats'!$B$3="intersectoriel",'Dropdown input'!$F$12,IF('Compte des résultats'!$B$3="sélectionner",""))),IF(E10=6,IF('Compte des résultats'!$B$3="orienté sur la chaîne de création de valeur",'Dropdown input'!$E$13,IF('Compte des résultats'!$B$3="intersectoriel",'Dropdown input'!$F$13,IF('Compte des résultats'!$B$3="sélectionner",""))),IF(E10=7,IF('Compte des résultats'!$B$3="orienté sur la chaîne de création de valeur",'Dropdown input'!$E$14,IF('Compte des résultats'!$B$3="intersectoriel",'Dropdown input'!$F$14,IF('Compte des résultats'!$B$3="sélectionner",""))),IF(E10=8,IF('Compte des résultats'!$B$3="orienté sur la chaîne de création de valeur",'Dropdown input'!$E$15,IF('Compte des résultats'!$B$3="intersectoriel",'Dropdown input'!$F$15,IF('Compte des résultats'!$B$3="sélectionner",""))),IF(E10=9,IF('Compte des résultats'!$B$3="orienté sur la chaîne de création de valeur",'Dropdown input'!$E$16,IF('Compte des résultats'!$B$3="intersectoriel",'Dropdown input'!$F$16,IF('Compte des résultats'!$B$3="sélectionner",""))),IF(E10=10,IF('Compte des résultats'!$B$3="orienté sur la chaîne de création de valeur",'Dropdown input'!$E$17,IF('Compte des résultats'!$B$3="intersectoriel",'Dropdown input'!$F$17,IF('Compte des résultats'!$B$3="sélectionner",""))),IF(E10=11,IF('Compte des résultats'!$B$3="orienté sur la chaîne de création de valeur",'Dropdown input'!$E$18,IF('Compte des résultats'!$B$3="intersectoriel",'Dropdown input'!$F$18,IF('Compte des résultats'!$B$3="sélectionner",""))),IF(E10="",""))))))))))))</f>
        <v/>
      </c>
      <c r="N10" s="378" t="str">
        <f t="shared" si="9"/>
        <v/>
      </c>
      <c r="O10" s="332" t="str">
        <f t="shared" si="1"/>
        <v/>
      </c>
      <c r="P10" s="453"/>
      <c r="Q10" s="459" t="str">
        <f t="shared" si="10"/>
        <v/>
      </c>
      <c r="R10" s="311" t="str">
        <f t="shared" si="11"/>
        <v/>
      </c>
      <c r="S10" s="312" t="str">
        <f t="shared" si="12"/>
        <v/>
      </c>
      <c r="T10" s="450" t="str">
        <f>IFERROR(O10+S10+P10,"")</f>
        <v/>
      </c>
      <c r="U10" s="306" t="str">
        <f t="shared" si="2"/>
        <v/>
      </c>
      <c r="V10" s="313"/>
      <c r="W10" s="314"/>
      <c r="X10" s="314"/>
      <c r="Y10" s="314"/>
      <c r="Z10" s="386" t="str">
        <f t="shared" si="3"/>
        <v/>
      </c>
      <c r="AA10" s="387">
        <f t="shared" si="13"/>
        <v>0</v>
      </c>
      <c r="AB10" s="382" t="str">
        <f t="shared" si="4"/>
        <v>N/A</v>
      </c>
      <c r="AC10" s="313"/>
      <c r="AD10" s="310"/>
      <c r="AE10" s="313"/>
      <c r="AF10" s="310"/>
      <c r="AG10" s="313"/>
      <c r="AH10" s="313"/>
    </row>
    <row r="11" spans="1:36" ht="48.65" customHeight="1" x14ac:dyDescent="0.3">
      <c r="A11" s="337" t="s">
        <v>323</v>
      </c>
      <c r="B11" s="309"/>
      <c r="C11" s="383" t="s">
        <v>321</v>
      </c>
      <c r="D11" s="384" t="s">
        <v>321</v>
      </c>
      <c r="E11" s="373" t="str">
        <f t="shared" si="5"/>
        <v/>
      </c>
      <c r="F11" s="310"/>
      <c r="G11" s="385">
        <f t="shared" si="6"/>
        <v>0</v>
      </c>
      <c r="H11" s="375" t="str">
        <f>IF(E11=1,IF('Compte des résultats'!$B$3="orienté sur la chaîne de création de valeur",'Dropdown input'!$C$8,IF('Compte des résultats'!$B$3="intersectoriel",'Dropdown input'!$D$8, IF('Compte des résultats'!$B$3="sélectionner",""))),IF(E11=2,IF('Compte des résultats'!$B$3="orienté sur la chaîne de création de valeur",'Dropdown input'!$C$9,IF('Compte des résultats'!$B$3="intersectoriel",'Dropdown input'!$D$9, IF('Compte des résultats'!$B$3="sélectionner",""))),IF(E11=3,IF('Compte des résultats'!$B$3="orienté sur la chaîne de création de valeur",'Dropdown input'!$C$10,IF('Compte des résultats'!$B$3="intersectoriel",'Dropdown input'!$D$10, IF('Compte des résultats'!$B$3="sélectionner",""))),IF(E11=4,IF('Compte des résultats'!$B$3="orienté sur la chaîne de création de valeur",'Dropdown input'!$C$11,IF('Compte des résultats'!$B$3="intersectoriel",'Dropdown input'!$D$11, IF('Compte des résultats'!$B$3="sélectionner",""))),IF(E11=5,IF('Compte des résultats'!$B$3="orienté sur la chaîne de création de valeur",'Dropdown input'!$C$12,IF('Compte des résultats'!$B$3="intersectoriel",'Dropdown input'!$D$12, IF('Compte des résultats'!$B$3="sélectionner",""))),IF(E11=6,IF('Compte des résultats'!$B$3="orienté sur la chaîne de création de valeur",'Dropdown input'!$C$13,IF('Compte des résultats'!$B$3="intersectoriel",'Dropdown input'!$D$13, IF('Compte des résultats'!$B$3="sélectionner",""))),IF(E11=7,IF('Compte des résultats'!$B$3="orienté sur la chaîne de création de valeur",'Dropdown input'!$C$14,IF('Compte des résultats'!$B$3="intersectoriel",'Dropdown input'!$D$14, IF('Compte des résultats'!$B$3="sélectionner",""))),IF(E11=8,IF('Compte des résultats'!$B$3="orienté sur la chaîne de création de valeur",'Dropdown input'!$C$15,IF('Compte des résultats'!$B$3="intersectoriel",'Dropdown input'!$D$15, IF('Compte des résultats'!$B$3="sélectionner",""))),IF(E11=9,IF('Compte des résultats'!$B$3="orienté sur la chaîne de création de valeur",'Dropdown input'!$C$16,IF('Compte des résultats'!$B$3="intersectoriel",'Dropdown input'!$D$16, IF('Compte des résultats'!$B$3="sélectionner",""))),IF(E11=10,IF('Compte des résultats'!$B$3="orienté sur la chaîne de création de valeur",'Dropdown input'!$C$17,IF('Compte des résultats'!$B$3="intersectoriel",'Dropdown input'!$D$17, IF('Compte des résultats'!$B$3="sélectionner",""))),IF(E11=11,IF('Compte des résultats'!$B$3="orienté sur la chaîne de création de valeur",'Dropdown input'!$C$18,IF('Compte des résultats'!$B$3="intersectoriel",'Dropdown input'!$D$18, IF('Compte des résultats'!$B$3="sélectionner",""))),IF(E11="",""))))))))))))</f>
        <v/>
      </c>
      <c r="I11" s="385" t="str">
        <f t="shared" si="7"/>
        <v/>
      </c>
      <c r="J11" s="376" t="str">
        <f t="shared" si="8"/>
        <v/>
      </c>
      <c r="K11" s="507" t="str">
        <f>IF(E11=1,'Dropdown input'!$I$8,IF(E11=2,'Dropdown input'!$I$9,IF(E11=3,'Dropdown input'!$I$10,IF(E11=4,'Dropdown input'!$I$10,IF(E11=5,'Dropdown input'!$I$12,IF(E11=6,'Dropdown input'!$I$13,IF(E11=7,'Dropdown input'!$I$14,IF(E11=8,'Dropdown input'!$I$15,IF(E11=9,"veuillez clarifier spécifiquement avec l'OFAG",IF(E11=11,'Dropdown input'!$I$18,IF(E11=10,'Dropdown input'!$I$17,"")))))))))))</f>
        <v/>
      </c>
      <c r="L11" s="453" t="str">
        <f t="shared" si="0"/>
        <v/>
      </c>
      <c r="M11" s="377" t="str">
        <f>IF(E11=1,IF('Compte des résultats'!$B$3="orienté sur la chaîne de création de valeur",'Dropdown input'!$E$8,IF('Compte des résultats'!$B$3="intersectoriel",'Dropdown input'!$F$8,IF('Compte des résultats'!$B$3="sélectionner",""))),IF(E11=2,IF('Compte des résultats'!$B$3="orienté sur la chaîne de création de valeur",'Dropdown input'!$E$9,IF('Compte des résultats'!$B$3="intersectoriel",'Dropdown input'!$F$9,IF('Compte des résultats'!$B$3="sélectionner",""))),IF(E11=3,IF('Compte des résultats'!$B$3="orienté sur la chaîne de création de valeur",'Dropdown input'!$E$10,IF('Compte des résultats'!$B$3="intersectoriel",'Dropdown input'!$F$10,IF('Compte des résultats'!$B$3="sélectionner",""))),IF(E11=4,IF('Compte des résultats'!$B$3="orienté sur la chaîne de création de valeur",'Dropdown input'!$E$11,IF('Compte des résultats'!$B$3="intersectoriel",'Dropdown input'!$F$11,IF('Compte des résultats'!$B$3="sélectionner",""))),IF(E11=5,IF('Compte des résultats'!$B$3="orienté sur la chaîne de création de valeur",'Dropdown input'!$E$12,IF('Compte des résultats'!$B$3="intersectoriel",'Dropdown input'!$F$12,IF('Compte des résultats'!$B$3="sélectionner",""))),IF(E11=6,IF('Compte des résultats'!$B$3="orienté sur la chaîne de création de valeur",'Dropdown input'!$E$13,IF('Compte des résultats'!$B$3="intersectoriel",'Dropdown input'!$F$13,IF('Compte des résultats'!$B$3="sélectionner",""))),IF(E11=7,IF('Compte des résultats'!$B$3="orienté sur la chaîne de création de valeur",'Dropdown input'!$E$14,IF('Compte des résultats'!$B$3="intersectoriel",'Dropdown input'!$F$14,IF('Compte des résultats'!$B$3="sélectionner",""))),IF(E11=8,IF('Compte des résultats'!$B$3="orienté sur la chaîne de création de valeur",'Dropdown input'!$E$15,IF('Compte des résultats'!$B$3="intersectoriel",'Dropdown input'!$F$15,IF('Compte des résultats'!$B$3="sélectionner",""))),IF(E11=9,IF('Compte des résultats'!$B$3="orienté sur la chaîne de création de valeur",'Dropdown input'!$E$16,IF('Compte des résultats'!$B$3="intersectoriel",'Dropdown input'!$F$16,IF('Compte des résultats'!$B$3="sélectionner",""))),IF(E11=10,IF('Compte des résultats'!$B$3="orienté sur la chaîne de création de valeur",'Dropdown input'!$E$17,IF('Compte des résultats'!$B$3="intersectoriel",'Dropdown input'!$F$17,IF('Compte des résultats'!$B$3="sélectionner",""))),IF(E11=11,IF('Compte des résultats'!$B$3="orienté sur la chaîne de création de valeur",'Dropdown input'!$E$18,IF('Compte des résultats'!$B$3="intersectoriel",'Dropdown input'!$F$18,IF('Compte des résultats'!$B$3="sélectionner",""))),IF(E11="",""))))))))))))</f>
        <v/>
      </c>
      <c r="N11" s="378" t="str">
        <f t="shared" si="9"/>
        <v/>
      </c>
      <c r="O11" s="332" t="str">
        <f>IFERROR(I11*(K11*N11),"")</f>
        <v/>
      </c>
      <c r="P11" s="453"/>
      <c r="Q11" s="459" t="str">
        <f>IFERROR((P11+O11)/I11,"")</f>
        <v/>
      </c>
      <c r="R11" s="311" t="str">
        <f t="shared" si="11"/>
        <v/>
      </c>
      <c r="S11" s="312" t="str">
        <f>IFERROR(R11*I11,"")</f>
        <v/>
      </c>
      <c r="T11" s="450" t="str">
        <f>IFERROR(O11+S11+P11,"")</f>
        <v/>
      </c>
      <c r="U11" s="306" t="str">
        <f t="shared" si="2"/>
        <v/>
      </c>
      <c r="V11" s="313"/>
      <c r="W11" s="314"/>
      <c r="X11" s="314"/>
      <c r="Y11" s="314"/>
      <c r="Z11" s="386" t="str">
        <f t="shared" si="3"/>
        <v/>
      </c>
      <c r="AA11" s="387">
        <f t="shared" si="13"/>
        <v>0</v>
      </c>
      <c r="AB11" s="382" t="str">
        <f t="shared" si="4"/>
        <v>N/A</v>
      </c>
      <c r="AC11" s="313"/>
      <c r="AD11" s="310"/>
      <c r="AE11" s="313"/>
      <c r="AF11" s="310"/>
      <c r="AG11" s="313"/>
      <c r="AH11" s="313"/>
    </row>
    <row r="12" spans="1:36" ht="48.65" customHeight="1" x14ac:dyDescent="0.3">
      <c r="A12" s="337" t="s">
        <v>324</v>
      </c>
      <c r="B12" s="309"/>
      <c r="C12" s="383" t="s">
        <v>321</v>
      </c>
      <c r="D12" s="384" t="s">
        <v>321</v>
      </c>
      <c r="E12" s="373" t="str">
        <f t="shared" si="5"/>
        <v/>
      </c>
      <c r="F12" s="310"/>
      <c r="G12" s="385">
        <f t="shared" si="6"/>
        <v>0</v>
      </c>
      <c r="H12" s="375" t="str">
        <f>IF(E12=1,IF('Compte des résultats'!$B$3="orienté sur la chaîne de création de valeur",'Dropdown input'!$C$8,IF('Compte des résultats'!$B$3="intersectoriel",'Dropdown input'!$D$8, IF('Compte des résultats'!$B$3="sélectionner",""))),IF(E12=2,IF('Compte des résultats'!$B$3="orienté sur la chaîne de création de valeur",'Dropdown input'!$C$9,IF('Compte des résultats'!$B$3="intersectoriel",'Dropdown input'!$D$9, IF('Compte des résultats'!$B$3="sélectionner",""))),IF(E12=3,IF('Compte des résultats'!$B$3="orienté sur la chaîne de création de valeur",'Dropdown input'!$C$10,IF('Compte des résultats'!$B$3="intersectoriel",'Dropdown input'!$D$10, IF('Compte des résultats'!$B$3="sélectionner",""))),IF(E12=4,IF('Compte des résultats'!$B$3="orienté sur la chaîne de création de valeur",'Dropdown input'!$C$11,IF('Compte des résultats'!$B$3="intersectoriel",'Dropdown input'!$D$11, IF('Compte des résultats'!$B$3="sélectionner",""))),IF(E12=5,IF('Compte des résultats'!$B$3="orienté sur la chaîne de création de valeur",'Dropdown input'!$C$12,IF('Compte des résultats'!$B$3="intersectoriel",'Dropdown input'!$D$12, IF('Compte des résultats'!$B$3="sélectionner",""))),IF(E12=6,IF('Compte des résultats'!$B$3="orienté sur la chaîne de création de valeur",'Dropdown input'!$C$13,IF('Compte des résultats'!$B$3="intersectoriel",'Dropdown input'!$D$13, IF('Compte des résultats'!$B$3="sélectionner",""))),IF(E12=7,IF('Compte des résultats'!$B$3="orienté sur la chaîne de création de valeur",'Dropdown input'!$C$14,IF('Compte des résultats'!$B$3="intersectoriel",'Dropdown input'!$D$14, IF('Compte des résultats'!$B$3="sélectionner",""))),IF(E12=8,IF('Compte des résultats'!$B$3="orienté sur la chaîne de création de valeur",'Dropdown input'!$C$15,IF('Compte des résultats'!$B$3="intersectoriel",'Dropdown input'!$D$15, IF('Compte des résultats'!$B$3="sélectionner",""))),IF(E12=9,IF('Compte des résultats'!$B$3="orienté sur la chaîne de création de valeur",'Dropdown input'!$C$16,IF('Compte des résultats'!$B$3="intersectoriel",'Dropdown input'!$D$16, IF('Compte des résultats'!$B$3="sélectionner",""))),IF(E12=10,IF('Compte des résultats'!$B$3="orienté sur la chaîne de création de valeur",'Dropdown input'!$C$17,IF('Compte des résultats'!$B$3="intersectoriel",'Dropdown input'!$D$17, IF('Compte des résultats'!$B$3="sélectionner",""))),IF(E12=11,IF('Compte des résultats'!$B$3="orienté sur la chaîne de création de valeur",'Dropdown input'!$C$18,IF('Compte des résultats'!$B$3="intersectoriel",'Dropdown input'!$D$18, IF('Compte des résultats'!$B$3="sélectionner",""))),IF(E12="",""))))))))))))</f>
        <v/>
      </c>
      <c r="I12" s="385" t="str">
        <f t="shared" si="7"/>
        <v/>
      </c>
      <c r="J12" s="376" t="str">
        <f t="shared" si="8"/>
        <v/>
      </c>
      <c r="K12" s="507" t="str">
        <f>IF(E12=1,'Dropdown input'!$I$8,IF(E12=2,'Dropdown input'!$I$9,IF(E12=3,'Dropdown input'!$I$10,IF(E12=4,'Dropdown input'!$I$10,IF(E12=5,'Dropdown input'!$I$12,IF(E12=6,'Dropdown input'!$I$13,IF(E12=7,'Dropdown input'!$I$14,IF(E12=8,'Dropdown input'!$I$15,IF(E12=9,"veuillez clarifier spécifiquement avec l'OFAG",IF(E12=11,'Dropdown input'!$I$18,IF(E12=10,'Dropdown input'!$I$17,"")))))))))))</f>
        <v/>
      </c>
      <c r="L12" s="453" t="str">
        <f t="shared" si="0"/>
        <v/>
      </c>
      <c r="M12" s="377" t="str">
        <f>IF(E12=1,IF('Compte des résultats'!$B$3="orienté sur la chaîne de création de valeur",'Dropdown input'!$E$8,IF('Compte des résultats'!$B$3="intersectoriel",'Dropdown input'!$F$8,IF('Compte des résultats'!$B$3="sélectionner",""))),IF(E12=2,IF('Compte des résultats'!$B$3="orienté sur la chaîne de création de valeur",'Dropdown input'!$E$9,IF('Compte des résultats'!$B$3="intersectoriel",'Dropdown input'!$F$9,IF('Compte des résultats'!$B$3="sélectionner",""))),IF(E12=3,IF('Compte des résultats'!$B$3="orienté sur la chaîne de création de valeur",'Dropdown input'!$E$10,IF('Compte des résultats'!$B$3="intersectoriel",'Dropdown input'!$F$10,IF('Compte des résultats'!$B$3="sélectionner",""))),IF(E12=4,IF('Compte des résultats'!$B$3="orienté sur la chaîne de création de valeur",'Dropdown input'!$E$11,IF('Compte des résultats'!$B$3="intersectoriel",'Dropdown input'!$F$11,IF('Compte des résultats'!$B$3="sélectionner",""))),IF(E12=5,IF('Compte des résultats'!$B$3="orienté sur la chaîne de création de valeur",'Dropdown input'!$E$12,IF('Compte des résultats'!$B$3="intersectoriel",'Dropdown input'!$F$12,IF('Compte des résultats'!$B$3="sélectionner",""))),IF(E12=6,IF('Compte des résultats'!$B$3="orienté sur la chaîne de création de valeur",'Dropdown input'!$E$13,IF('Compte des résultats'!$B$3="intersectoriel",'Dropdown input'!$F$13,IF('Compte des résultats'!$B$3="sélectionner",""))),IF(E12=7,IF('Compte des résultats'!$B$3="orienté sur la chaîne de création de valeur",'Dropdown input'!$E$14,IF('Compte des résultats'!$B$3="intersectoriel",'Dropdown input'!$F$14,IF('Compte des résultats'!$B$3="sélectionner",""))),IF(E12=8,IF('Compte des résultats'!$B$3="orienté sur la chaîne de création de valeur",'Dropdown input'!$E$15,IF('Compte des résultats'!$B$3="intersectoriel",'Dropdown input'!$F$15,IF('Compte des résultats'!$B$3="sélectionner",""))),IF(E12=9,IF('Compte des résultats'!$B$3="orienté sur la chaîne de création de valeur",'Dropdown input'!$E$16,IF('Compte des résultats'!$B$3="intersectoriel",'Dropdown input'!$F$16,IF('Compte des résultats'!$B$3="sélectionner",""))),IF(E12=10,IF('Compte des résultats'!$B$3="orienté sur la chaîne de création de valeur",'Dropdown input'!$E$17,IF('Compte des résultats'!$B$3="intersectoriel",'Dropdown input'!$F$17,IF('Compte des résultats'!$B$3="sélectionner",""))),IF(E12=11,IF('Compte des résultats'!$B$3="orienté sur la chaîne de création de valeur",'Dropdown input'!$E$18,IF('Compte des résultats'!$B$3="intersectoriel",'Dropdown input'!$F$18,IF('Compte des résultats'!$B$3="sélectionner",""))),IF(E12="",""))))))))))))</f>
        <v/>
      </c>
      <c r="N12" s="378" t="str">
        <f t="shared" si="9"/>
        <v/>
      </c>
      <c r="O12" s="332" t="str">
        <f t="shared" si="1"/>
        <v/>
      </c>
      <c r="P12" s="453"/>
      <c r="Q12" s="459" t="str">
        <f t="shared" si="10"/>
        <v/>
      </c>
      <c r="R12" s="311" t="str">
        <f t="shared" si="11"/>
        <v/>
      </c>
      <c r="S12" s="312" t="str">
        <f t="shared" si="12"/>
        <v/>
      </c>
      <c r="T12" s="450" t="str">
        <f t="shared" ref="T12:T16" si="14">IFERROR(O12+S12+P12,"")</f>
        <v/>
      </c>
      <c r="U12" s="306" t="str">
        <f t="shared" si="2"/>
        <v/>
      </c>
      <c r="V12" s="313"/>
      <c r="W12" s="314"/>
      <c r="X12" s="314"/>
      <c r="Y12" s="314"/>
      <c r="Z12" s="386" t="str">
        <f t="shared" si="3"/>
        <v/>
      </c>
      <c r="AA12" s="387">
        <f t="shared" si="13"/>
        <v>0</v>
      </c>
      <c r="AB12" s="382" t="str">
        <f t="shared" si="4"/>
        <v>N/A</v>
      </c>
      <c r="AC12" s="313"/>
      <c r="AD12" s="310"/>
      <c r="AE12" s="313"/>
      <c r="AF12" s="310"/>
      <c r="AG12" s="313"/>
      <c r="AH12" s="313"/>
    </row>
    <row r="13" spans="1:36" ht="48.65" customHeight="1" x14ac:dyDescent="0.3">
      <c r="A13" s="337" t="s">
        <v>325</v>
      </c>
      <c r="B13" s="309"/>
      <c r="C13" s="383" t="s">
        <v>321</v>
      </c>
      <c r="D13" s="384" t="s">
        <v>321</v>
      </c>
      <c r="E13" s="373" t="str">
        <f t="shared" si="5"/>
        <v/>
      </c>
      <c r="F13" s="310"/>
      <c r="G13" s="385">
        <f t="shared" si="6"/>
        <v>0</v>
      </c>
      <c r="H13" s="375" t="str">
        <f>IF(E13=1,IF('Compte des résultats'!$B$3="orienté sur la chaîne de création de valeur",'Dropdown input'!$C$8,IF('Compte des résultats'!$B$3="intersectoriel",'Dropdown input'!$D$8, IF('Compte des résultats'!$B$3="sélectionner",""))),IF(E13=2,IF('Compte des résultats'!$B$3="orienté sur la chaîne de création de valeur",'Dropdown input'!$C$9,IF('Compte des résultats'!$B$3="intersectoriel",'Dropdown input'!$D$9, IF('Compte des résultats'!$B$3="sélectionner",""))),IF(E13=3,IF('Compte des résultats'!$B$3="orienté sur la chaîne de création de valeur",'Dropdown input'!$C$10,IF('Compte des résultats'!$B$3="intersectoriel",'Dropdown input'!$D$10, IF('Compte des résultats'!$B$3="sélectionner",""))),IF(E13=4,IF('Compte des résultats'!$B$3="orienté sur la chaîne de création de valeur",'Dropdown input'!$C$11,IF('Compte des résultats'!$B$3="intersectoriel",'Dropdown input'!$D$11, IF('Compte des résultats'!$B$3="sélectionner",""))),IF(E13=5,IF('Compte des résultats'!$B$3="orienté sur la chaîne de création de valeur",'Dropdown input'!$C$12,IF('Compte des résultats'!$B$3="intersectoriel",'Dropdown input'!$D$12, IF('Compte des résultats'!$B$3="sélectionner",""))),IF(E13=6,IF('Compte des résultats'!$B$3="orienté sur la chaîne de création de valeur",'Dropdown input'!$C$13,IF('Compte des résultats'!$B$3="intersectoriel",'Dropdown input'!$D$13, IF('Compte des résultats'!$B$3="sélectionner",""))),IF(E13=7,IF('Compte des résultats'!$B$3="orienté sur la chaîne de création de valeur",'Dropdown input'!$C$14,IF('Compte des résultats'!$B$3="intersectoriel",'Dropdown input'!$D$14, IF('Compte des résultats'!$B$3="sélectionner",""))),IF(E13=8,IF('Compte des résultats'!$B$3="orienté sur la chaîne de création de valeur",'Dropdown input'!$C$15,IF('Compte des résultats'!$B$3="intersectoriel",'Dropdown input'!$D$15, IF('Compte des résultats'!$B$3="sélectionner",""))),IF(E13=9,IF('Compte des résultats'!$B$3="orienté sur la chaîne de création de valeur",'Dropdown input'!$C$16,IF('Compte des résultats'!$B$3="intersectoriel",'Dropdown input'!$D$16, IF('Compte des résultats'!$B$3="sélectionner",""))),IF(E13=10,IF('Compte des résultats'!$B$3="orienté sur la chaîne de création de valeur",'Dropdown input'!$C$17,IF('Compte des résultats'!$B$3="intersectoriel",'Dropdown input'!$D$17, IF('Compte des résultats'!$B$3="sélectionner",""))),IF(E13=11,IF('Compte des résultats'!$B$3="orienté sur la chaîne de création de valeur",'Dropdown input'!$C$18,IF('Compte des résultats'!$B$3="intersectoriel",'Dropdown input'!$D$18, IF('Compte des résultats'!$B$3="sélectionner",""))),IF(E13="",""))))))))))))</f>
        <v/>
      </c>
      <c r="I13" s="385" t="str">
        <f t="shared" si="7"/>
        <v/>
      </c>
      <c r="J13" s="376" t="str">
        <f t="shared" si="8"/>
        <v/>
      </c>
      <c r="K13" s="507" t="str">
        <f>IF(E13=1,'Dropdown input'!$I$8,IF(E13=2,'Dropdown input'!$I$9,IF(E13=3,'Dropdown input'!$I$10,IF(E13=4,'Dropdown input'!$I$10,IF(E13=5,'Dropdown input'!$I$12,IF(E13=6,'Dropdown input'!$I$13,IF(E13=7,'Dropdown input'!$I$14,IF(E13=8,'Dropdown input'!$I$15,IF(E13=9,"veuillez clarifier spécifiquement avec l'OFAG",IF(E13=11,'Dropdown input'!$I$18,IF(E13=10,'Dropdown input'!$I$17,"")))))))))))</f>
        <v/>
      </c>
      <c r="L13" s="453" t="str">
        <f t="shared" si="0"/>
        <v/>
      </c>
      <c r="M13" s="377" t="str">
        <f>IF(E13=1,IF('Compte des résultats'!$B$3="orienté sur la chaîne de création de valeur",'Dropdown input'!$E$8,IF('Compte des résultats'!$B$3="intersectoriel",'Dropdown input'!$F$8,IF('Compte des résultats'!$B$3="sélectionner",""))),IF(E13=2,IF('Compte des résultats'!$B$3="orienté sur la chaîne de création de valeur",'Dropdown input'!$E$9,IF('Compte des résultats'!$B$3="intersectoriel",'Dropdown input'!$F$9,IF('Compte des résultats'!$B$3="sélectionner",""))),IF(E13=3,IF('Compte des résultats'!$B$3="orienté sur la chaîne de création de valeur",'Dropdown input'!$E$10,IF('Compte des résultats'!$B$3="intersectoriel",'Dropdown input'!$F$10,IF('Compte des résultats'!$B$3="sélectionner",""))),IF(E13=4,IF('Compte des résultats'!$B$3="orienté sur la chaîne de création de valeur",'Dropdown input'!$E$11,IF('Compte des résultats'!$B$3="intersectoriel",'Dropdown input'!$F$11,IF('Compte des résultats'!$B$3="sélectionner",""))),IF(E13=5,IF('Compte des résultats'!$B$3="orienté sur la chaîne de création de valeur",'Dropdown input'!$E$12,IF('Compte des résultats'!$B$3="intersectoriel",'Dropdown input'!$F$12,IF('Compte des résultats'!$B$3="sélectionner",""))),IF(E13=6,IF('Compte des résultats'!$B$3="orienté sur la chaîne de création de valeur",'Dropdown input'!$E$13,IF('Compte des résultats'!$B$3="intersectoriel",'Dropdown input'!$F$13,IF('Compte des résultats'!$B$3="sélectionner",""))),IF(E13=7,IF('Compte des résultats'!$B$3="orienté sur la chaîne de création de valeur",'Dropdown input'!$E$14,IF('Compte des résultats'!$B$3="intersectoriel",'Dropdown input'!$F$14,IF('Compte des résultats'!$B$3="sélectionner",""))),IF(E13=8,IF('Compte des résultats'!$B$3="orienté sur la chaîne de création de valeur",'Dropdown input'!$E$15,IF('Compte des résultats'!$B$3="intersectoriel",'Dropdown input'!$F$15,IF('Compte des résultats'!$B$3="sélectionner",""))),IF(E13=9,IF('Compte des résultats'!$B$3="orienté sur la chaîne de création de valeur",'Dropdown input'!$E$16,IF('Compte des résultats'!$B$3="intersectoriel",'Dropdown input'!$F$16,IF('Compte des résultats'!$B$3="sélectionner",""))),IF(E13=10,IF('Compte des résultats'!$B$3="orienté sur la chaîne de création de valeur",'Dropdown input'!$E$17,IF('Compte des résultats'!$B$3="intersectoriel",'Dropdown input'!$F$17,IF('Compte des résultats'!$B$3="sélectionner",""))),IF(E13=11,IF('Compte des résultats'!$B$3="orienté sur la chaîne de création de valeur",'Dropdown input'!$E$18,IF('Compte des résultats'!$B$3="intersectoriel",'Dropdown input'!$F$18,IF('Compte des résultats'!$B$3="sélectionner",""))),IF(E13="",""))))))))))))</f>
        <v/>
      </c>
      <c r="N13" s="378" t="str">
        <f t="shared" si="9"/>
        <v/>
      </c>
      <c r="O13" s="332" t="str">
        <f t="shared" si="1"/>
        <v/>
      </c>
      <c r="P13" s="453"/>
      <c r="Q13" s="459" t="str">
        <f t="shared" si="10"/>
        <v/>
      </c>
      <c r="R13" s="311" t="str">
        <f t="shared" si="11"/>
        <v/>
      </c>
      <c r="S13" s="312" t="str">
        <f t="shared" si="12"/>
        <v/>
      </c>
      <c r="T13" s="450" t="str">
        <f t="shared" si="14"/>
        <v/>
      </c>
      <c r="U13" s="306" t="str">
        <f t="shared" si="2"/>
        <v/>
      </c>
      <c r="V13" s="313"/>
      <c r="W13" s="314"/>
      <c r="X13" s="314"/>
      <c r="Y13" s="314"/>
      <c r="Z13" s="386" t="str">
        <f t="shared" si="3"/>
        <v/>
      </c>
      <c r="AA13" s="387">
        <f t="shared" si="13"/>
        <v>0</v>
      </c>
      <c r="AB13" s="382" t="str">
        <f t="shared" si="4"/>
        <v>N/A</v>
      </c>
      <c r="AC13" s="313"/>
      <c r="AD13" s="310"/>
      <c r="AE13" s="313"/>
      <c r="AF13" s="310"/>
      <c r="AG13" s="313"/>
      <c r="AH13" s="313"/>
    </row>
    <row r="14" spans="1:36" ht="48.65" customHeight="1" x14ac:dyDescent="0.3">
      <c r="A14" s="337" t="s">
        <v>326</v>
      </c>
      <c r="B14" s="309"/>
      <c r="C14" s="383" t="s">
        <v>321</v>
      </c>
      <c r="D14" s="384" t="s">
        <v>321</v>
      </c>
      <c r="E14" s="373" t="str">
        <f t="shared" si="5"/>
        <v/>
      </c>
      <c r="F14" s="310"/>
      <c r="G14" s="385">
        <f t="shared" si="6"/>
        <v>0</v>
      </c>
      <c r="H14" s="375" t="str">
        <f>IF(E14=1,IF('Compte des résultats'!$B$3="orienté sur la chaîne de création de valeur",'Dropdown input'!$C$8,IF('Compte des résultats'!$B$3="intersectoriel",'Dropdown input'!$D$8, IF('Compte des résultats'!$B$3="sélectionner",""))),IF(E14=2,IF('Compte des résultats'!$B$3="orienté sur la chaîne de création de valeur",'Dropdown input'!$C$9,IF('Compte des résultats'!$B$3="intersectoriel",'Dropdown input'!$D$9, IF('Compte des résultats'!$B$3="sélectionner",""))),IF(E14=3,IF('Compte des résultats'!$B$3="orienté sur la chaîne de création de valeur",'Dropdown input'!$C$10,IF('Compte des résultats'!$B$3="intersectoriel",'Dropdown input'!$D$10, IF('Compte des résultats'!$B$3="sélectionner",""))),IF(E14=4,IF('Compte des résultats'!$B$3="orienté sur la chaîne de création de valeur",'Dropdown input'!$C$11,IF('Compte des résultats'!$B$3="intersectoriel",'Dropdown input'!$D$11, IF('Compte des résultats'!$B$3="sélectionner",""))),IF(E14=5,IF('Compte des résultats'!$B$3="orienté sur la chaîne de création de valeur",'Dropdown input'!$C$12,IF('Compte des résultats'!$B$3="intersectoriel",'Dropdown input'!$D$12, IF('Compte des résultats'!$B$3="sélectionner",""))),IF(E14=6,IF('Compte des résultats'!$B$3="orienté sur la chaîne de création de valeur",'Dropdown input'!$C$13,IF('Compte des résultats'!$B$3="intersectoriel",'Dropdown input'!$D$13, IF('Compte des résultats'!$B$3="sélectionner",""))),IF(E14=7,IF('Compte des résultats'!$B$3="orienté sur la chaîne de création de valeur",'Dropdown input'!$C$14,IF('Compte des résultats'!$B$3="intersectoriel",'Dropdown input'!$D$14, IF('Compte des résultats'!$B$3="sélectionner",""))),IF(E14=8,IF('Compte des résultats'!$B$3="orienté sur la chaîne de création de valeur",'Dropdown input'!$C$15,IF('Compte des résultats'!$B$3="intersectoriel",'Dropdown input'!$D$15, IF('Compte des résultats'!$B$3="sélectionner",""))),IF(E14=9,IF('Compte des résultats'!$B$3="orienté sur la chaîne de création de valeur",'Dropdown input'!$C$16,IF('Compte des résultats'!$B$3="intersectoriel",'Dropdown input'!$D$16, IF('Compte des résultats'!$B$3="sélectionner",""))),IF(E14=10,IF('Compte des résultats'!$B$3="orienté sur la chaîne de création de valeur",'Dropdown input'!$C$17,IF('Compte des résultats'!$B$3="intersectoriel",'Dropdown input'!$D$17, IF('Compte des résultats'!$B$3="sélectionner",""))),IF(E14=11,IF('Compte des résultats'!$B$3="orienté sur la chaîne de création de valeur",'Dropdown input'!$C$18,IF('Compte des résultats'!$B$3="intersectoriel",'Dropdown input'!$D$18, IF('Compte des résultats'!$B$3="sélectionner",""))),IF(E14="",""))))))))))))</f>
        <v/>
      </c>
      <c r="I14" s="385" t="str">
        <f t="shared" si="7"/>
        <v/>
      </c>
      <c r="J14" s="376" t="str">
        <f t="shared" si="8"/>
        <v/>
      </c>
      <c r="K14" s="507" t="str">
        <f>IF(E14=1,'Dropdown input'!$I$8,IF(E14=2,'Dropdown input'!$I$9,IF(E14=3,'Dropdown input'!$I$10,IF(E14=4,'Dropdown input'!$I$10,IF(E14=5,'Dropdown input'!$I$12,IF(E14=6,'Dropdown input'!$I$13,IF(E14=7,'Dropdown input'!$I$14,IF(E14=8,'Dropdown input'!$I$15,IF(E14=9,"veuillez clarifier spécifiquement avec l'OFAG",IF(E14=11,'Dropdown input'!$I$18,IF(E14=10,'Dropdown input'!$I$17,"")))))))))))</f>
        <v/>
      </c>
      <c r="L14" s="453" t="str">
        <f t="shared" si="0"/>
        <v/>
      </c>
      <c r="M14" s="377" t="str">
        <f>IF(E14=1,IF('Compte des résultats'!$B$3="orienté sur la chaîne de création de valeur",'Dropdown input'!$E$8,IF('Compte des résultats'!$B$3="intersectoriel",'Dropdown input'!$F$8,IF('Compte des résultats'!$B$3="sélectionner",""))),IF(E14=2,IF('Compte des résultats'!$B$3="orienté sur la chaîne de création de valeur",'Dropdown input'!$E$9,IF('Compte des résultats'!$B$3="intersectoriel",'Dropdown input'!$F$9,IF('Compte des résultats'!$B$3="sélectionner",""))),IF(E14=3,IF('Compte des résultats'!$B$3="orienté sur la chaîne de création de valeur",'Dropdown input'!$E$10,IF('Compte des résultats'!$B$3="intersectoriel",'Dropdown input'!$F$10,IF('Compte des résultats'!$B$3="sélectionner",""))),IF(E14=4,IF('Compte des résultats'!$B$3="orienté sur la chaîne de création de valeur",'Dropdown input'!$E$11,IF('Compte des résultats'!$B$3="intersectoriel",'Dropdown input'!$F$11,IF('Compte des résultats'!$B$3="sélectionner",""))),IF(E14=5,IF('Compte des résultats'!$B$3="orienté sur la chaîne de création de valeur",'Dropdown input'!$E$12,IF('Compte des résultats'!$B$3="intersectoriel",'Dropdown input'!$F$12,IF('Compte des résultats'!$B$3="sélectionner",""))),IF(E14=6,IF('Compte des résultats'!$B$3="orienté sur la chaîne de création de valeur",'Dropdown input'!$E$13,IF('Compte des résultats'!$B$3="intersectoriel",'Dropdown input'!$F$13,IF('Compte des résultats'!$B$3="sélectionner",""))),IF(E14=7,IF('Compte des résultats'!$B$3="orienté sur la chaîne de création de valeur",'Dropdown input'!$E$14,IF('Compte des résultats'!$B$3="intersectoriel",'Dropdown input'!$F$14,IF('Compte des résultats'!$B$3="sélectionner",""))),IF(E14=8,IF('Compte des résultats'!$B$3="orienté sur la chaîne de création de valeur",'Dropdown input'!$E$15,IF('Compte des résultats'!$B$3="intersectoriel",'Dropdown input'!$F$15,IF('Compte des résultats'!$B$3="sélectionner",""))),IF(E14=9,IF('Compte des résultats'!$B$3="orienté sur la chaîne de création de valeur",'Dropdown input'!$E$16,IF('Compte des résultats'!$B$3="intersectoriel",'Dropdown input'!$F$16,IF('Compte des résultats'!$B$3="sélectionner",""))),IF(E14=10,IF('Compte des résultats'!$B$3="orienté sur la chaîne de création de valeur",'Dropdown input'!$E$17,IF('Compte des résultats'!$B$3="intersectoriel",'Dropdown input'!$F$17,IF('Compte des résultats'!$B$3="sélectionner",""))),IF(E14=11,IF('Compte des résultats'!$B$3="orienté sur la chaîne de création de valeur",'Dropdown input'!$E$18,IF('Compte des résultats'!$B$3="intersectoriel",'Dropdown input'!$F$18,IF('Compte des résultats'!$B$3="sélectionner",""))),IF(E14="",""))))))))))))</f>
        <v/>
      </c>
      <c r="N14" s="378" t="str">
        <f t="shared" si="9"/>
        <v/>
      </c>
      <c r="O14" s="332" t="str">
        <f t="shared" si="1"/>
        <v/>
      </c>
      <c r="P14" s="453"/>
      <c r="Q14" s="459" t="str">
        <f t="shared" si="10"/>
        <v/>
      </c>
      <c r="R14" s="311" t="str">
        <f t="shared" si="11"/>
        <v/>
      </c>
      <c r="S14" s="312" t="str">
        <f t="shared" si="12"/>
        <v/>
      </c>
      <c r="T14" s="450" t="str">
        <f t="shared" si="14"/>
        <v/>
      </c>
      <c r="U14" s="306" t="str">
        <f t="shared" si="2"/>
        <v/>
      </c>
      <c r="V14" s="313"/>
      <c r="W14" s="314"/>
      <c r="X14" s="314"/>
      <c r="Y14" s="314"/>
      <c r="Z14" s="386" t="str">
        <f t="shared" si="3"/>
        <v/>
      </c>
      <c r="AA14" s="387">
        <f t="shared" si="13"/>
        <v>0</v>
      </c>
      <c r="AB14" s="382" t="str">
        <f t="shared" si="4"/>
        <v>N/A</v>
      </c>
      <c r="AC14" s="313"/>
      <c r="AD14" s="310"/>
      <c r="AE14" s="313"/>
      <c r="AF14" s="310"/>
      <c r="AG14" s="313"/>
      <c r="AH14" s="313"/>
    </row>
    <row r="15" spans="1:36" ht="48.65" customHeight="1" x14ac:dyDescent="0.3">
      <c r="A15" s="338" t="s">
        <v>327</v>
      </c>
      <c r="B15" s="315"/>
      <c r="C15" s="388" t="s">
        <v>321</v>
      </c>
      <c r="D15" s="389" t="s">
        <v>321</v>
      </c>
      <c r="E15" s="373" t="str">
        <f t="shared" si="5"/>
        <v/>
      </c>
      <c r="F15" s="316"/>
      <c r="G15" s="385">
        <f t="shared" si="6"/>
        <v>0</v>
      </c>
      <c r="H15" s="375" t="str">
        <f>IF(E15=1,IF('Compte des résultats'!$B$3="orienté sur la chaîne de création de valeur",'Dropdown input'!$C$8,IF('Compte des résultats'!$B$3="intersectoriel",'Dropdown input'!$D$8, IF('Compte des résultats'!$B$3="sélectionner",""))),IF(E15=2,IF('Compte des résultats'!$B$3="orienté sur la chaîne de création de valeur",'Dropdown input'!$C$9,IF('Compte des résultats'!$B$3="intersectoriel",'Dropdown input'!$D$9, IF('Compte des résultats'!$B$3="sélectionner",""))),IF(E15=3,IF('Compte des résultats'!$B$3="orienté sur la chaîne de création de valeur",'Dropdown input'!$C$10,IF('Compte des résultats'!$B$3="intersectoriel",'Dropdown input'!$D$10, IF('Compte des résultats'!$B$3="sélectionner",""))),IF(E15=4,IF('Compte des résultats'!$B$3="orienté sur la chaîne de création de valeur",'Dropdown input'!$C$11,IF('Compte des résultats'!$B$3="intersectoriel",'Dropdown input'!$D$11, IF('Compte des résultats'!$B$3="sélectionner",""))),IF(E15=5,IF('Compte des résultats'!$B$3="orienté sur la chaîne de création de valeur",'Dropdown input'!$C$12,IF('Compte des résultats'!$B$3="intersectoriel",'Dropdown input'!$D$12, IF('Compte des résultats'!$B$3="sélectionner",""))),IF(E15=6,IF('Compte des résultats'!$B$3="orienté sur la chaîne de création de valeur",'Dropdown input'!$C$13,IF('Compte des résultats'!$B$3="intersectoriel",'Dropdown input'!$D$13, IF('Compte des résultats'!$B$3="sélectionner",""))),IF(E15=7,IF('Compte des résultats'!$B$3="orienté sur la chaîne de création de valeur",'Dropdown input'!$C$14,IF('Compte des résultats'!$B$3="intersectoriel",'Dropdown input'!$D$14, IF('Compte des résultats'!$B$3="sélectionner",""))),IF(E15=8,IF('Compte des résultats'!$B$3="orienté sur la chaîne de création de valeur",'Dropdown input'!$C$15,IF('Compte des résultats'!$B$3="intersectoriel",'Dropdown input'!$D$15, IF('Compte des résultats'!$B$3="sélectionner",""))),IF(E15=9,IF('Compte des résultats'!$B$3="orienté sur la chaîne de création de valeur",'Dropdown input'!$C$16,IF('Compte des résultats'!$B$3="intersectoriel",'Dropdown input'!$D$16, IF('Compte des résultats'!$B$3="sélectionner",""))),IF(E15=10,IF('Compte des résultats'!$B$3="orienté sur la chaîne de création de valeur",'Dropdown input'!$C$17,IF('Compte des résultats'!$B$3="intersectoriel",'Dropdown input'!$D$17, IF('Compte des résultats'!$B$3="sélectionner",""))),IF(E15=11,IF('Compte des résultats'!$B$3="orienté sur la chaîne de création de valeur",'Dropdown input'!$C$18,IF('Compte des résultats'!$B$3="intersectoriel",'Dropdown input'!$D$18, IF('Compte des résultats'!$B$3="sélectionner",""))),IF(E15="",""))))))))))))</f>
        <v/>
      </c>
      <c r="I15" s="390" t="str">
        <f t="shared" si="7"/>
        <v/>
      </c>
      <c r="J15" s="376" t="str">
        <f t="shared" si="8"/>
        <v/>
      </c>
      <c r="K15" s="507" t="str">
        <f>IF(E15=1,'Dropdown input'!$I$8,IF(E15=2,'Dropdown input'!$I$9,IF(E15=3,'Dropdown input'!$I$10,IF(E15=4,'Dropdown input'!$I$10,IF(E15=5,'Dropdown input'!$I$12,IF(E15=6,'Dropdown input'!$I$13,IF(E15=7,'Dropdown input'!$I$14,IF(E15=8,'Dropdown input'!$I$15,IF(E15=9,"veuillez clarifier spécifiquement avec l'OFAG",IF(E15=11,'Dropdown input'!$I$18,IF(E15=10,'Dropdown input'!$I$17,"")))))))))))</f>
        <v/>
      </c>
      <c r="L15" s="453" t="str">
        <f t="shared" si="0"/>
        <v/>
      </c>
      <c r="M15" s="377" t="str">
        <f>IF(E15=1,IF('Compte des résultats'!$B$3="orienté sur la chaîne de création de valeur",'Dropdown input'!$E$8,IF('Compte des résultats'!$B$3="intersectoriel",'Dropdown input'!$F$8,IF('Compte des résultats'!$B$3="sélectionner",""))),IF(E15=2,IF('Compte des résultats'!$B$3="orienté sur la chaîne de création de valeur",'Dropdown input'!$E$9,IF('Compte des résultats'!$B$3="intersectoriel",'Dropdown input'!$F$9,IF('Compte des résultats'!$B$3="sélectionner",""))),IF(E15=3,IF('Compte des résultats'!$B$3="orienté sur la chaîne de création de valeur",'Dropdown input'!$E$10,IF('Compte des résultats'!$B$3="intersectoriel",'Dropdown input'!$F$10,IF('Compte des résultats'!$B$3="sélectionner",""))),IF(E15=4,IF('Compte des résultats'!$B$3="orienté sur la chaîne de création de valeur",'Dropdown input'!$E$11,IF('Compte des résultats'!$B$3="intersectoriel",'Dropdown input'!$F$11,IF('Compte des résultats'!$B$3="sélectionner",""))),IF(E15=5,IF('Compte des résultats'!$B$3="orienté sur la chaîne de création de valeur",'Dropdown input'!$E$12,IF('Compte des résultats'!$B$3="intersectoriel",'Dropdown input'!$F$12,IF('Compte des résultats'!$B$3="sélectionner",""))),IF(E15=6,IF('Compte des résultats'!$B$3="orienté sur la chaîne de création de valeur",'Dropdown input'!$E$13,IF('Compte des résultats'!$B$3="intersectoriel",'Dropdown input'!$F$13,IF('Compte des résultats'!$B$3="sélectionner",""))),IF(E15=7,IF('Compte des résultats'!$B$3="orienté sur la chaîne de création de valeur",'Dropdown input'!$E$14,IF('Compte des résultats'!$B$3="intersectoriel",'Dropdown input'!$F$14,IF('Compte des résultats'!$B$3="sélectionner",""))),IF(E15=8,IF('Compte des résultats'!$B$3="orienté sur la chaîne de création de valeur",'Dropdown input'!$E$15,IF('Compte des résultats'!$B$3="intersectoriel",'Dropdown input'!$F$15,IF('Compte des résultats'!$B$3="sélectionner",""))),IF(E15=9,IF('Compte des résultats'!$B$3="orienté sur la chaîne de création de valeur",'Dropdown input'!$E$16,IF('Compte des résultats'!$B$3="intersectoriel",'Dropdown input'!$F$16,IF('Compte des résultats'!$B$3="sélectionner",""))),IF(E15=10,IF('Compte des résultats'!$B$3="orienté sur la chaîne de création de valeur",'Dropdown input'!$E$17,IF('Compte des résultats'!$B$3="intersectoriel",'Dropdown input'!$F$17,IF('Compte des résultats'!$B$3="sélectionner",""))),IF(E15=11,IF('Compte des résultats'!$B$3="orienté sur la chaîne de création de valeur",'Dropdown input'!$E$18,IF('Compte des résultats'!$B$3="intersectoriel",'Dropdown input'!$F$18,IF('Compte des résultats'!$B$3="sélectionner",""))),IF(E15="",""))))))))))))</f>
        <v/>
      </c>
      <c r="N15" s="378" t="str">
        <f t="shared" si="9"/>
        <v/>
      </c>
      <c r="O15" s="332" t="str">
        <f t="shared" si="1"/>
        <v/>
      </c>
      <c r="P15" s="453"/>
      <c r="Q15" s="459" t="str">
        <f t="shared" si="10"/>
        <v/>
      </c>
      <c r="R15" s="311" t="str">
        <f t="shared" si="11"/>
        <v/>
      </c>
      <c r="S15" s="317" t="str">
        <f t="shared" si="12"/>
        <v/>
      </c>
      <c r="T15" s="450" t="str">
        <f t="shared" si="14"/>
        <v/>
      </c>
      <c r="U15" s="318" t="str">
        <f t="shared" si="2"/>
        <v/>
      </c>
      <c r="V15" s="319"/>
      <c r="W15" s="320"/>
      <c r="X15" s="320"/>
      <c r="Y15" s="320"/>
      <c r="Z15" s="391" t="str">
        <f t="shared" si="3"/>
        <v/>
      </c>
      <c r="AA15" s="392">
        <f t="shared" si="13"/>
        <v>0</v>
      </c>
      <c r="AB15" s="393" t="str">
        <f t="shared" si="4"/>
        <v>N/A</v>
      </c>
      <c r="AC15" s="319"/>
      <c r="AD15" s="316"/>
      <c r="AE15" s="319"/>
      <c r="AF15" s="316"/>
      <c r="AG15" s="319"/>
      <c r="AH15" s="319"/>
    </row>
    <row r="16" spans="1:36" ht="48.65" customHeight="1" x14ac:dyDescent="0.3">
      <c r="A16" s="339" t="s">
        <v>367</v>
      </c>
      <c r="B16" s="321"/>
      <c r="C16" s="394" t="s">
        <v>321</v>
      </c>
      <c r="D16" s="395" t="s">
        <v>321</v>
      </c>
      <c r="E16" s="373" t="str">
        <f t="shared" ref="E16" si="15">IF(D16="Investissements collectifs dans l'intérêt de l'ensemble du projet",1,IF(D16="Mise en place d'une branche de production dans l'exploitation agricole",2,IF(D16="ZM: Transformation, stockage et commercialisation en commun de produits agricoles régionaux",3,IF(D16="ZC: Transformation, stockage et commercialisation en commun de produits agricoles régionaux",4,IF(D16="Région de plaine : Transformation, stockage et commercialisation en commun de produits agricoles régionaux",5,IF(D16="Autres mesures dans l'intérêt du projet global (réduction min. 50%)",6,IF(D16="Bâtiments alpestres",7,IF(D16="Construction individuelle d'étables pour animaux consommant des fourrages grossiers",8,IF(D16="Mesures d'améliorations foncières",9,IF(D16="Mesures individuelles contribuant à la protection de l'environnement",10,IF(D16="Mesures individuelles transformation petites entreprises artisanales",11,IF(D16="…veuillez sélectionner la mesure",""))))))))))))</f>
        <v/>
      </c>
      <c r="F16" s="322"/>
      <c r="G16" s="385">
        <f t="shared" si="6"/>
        <v>0</v>
      </c>
      <c r="H16" s="375" t="str">
        <f>IF(E16=1,IF('Compte des résultats'!$B$3="orienté sur la chaîne de création de valeur",'Dropdown input'!$C$8,IF('Compte des résultats'!$B$3="intersectoriel",'Dropdown input'!$D$8, IF('Compte des résultats'!$B$3="sélectionner",""))),IF(E16=2,IF('Compte des résultats'!$B$3="orienté sur la chaîne de création de valeur",'Dropdown input'!$C$9,IF('Compte des résultats'!$B$3="intersectoriel",'Dropdown input'!$D$9, IF('Compte des résultats'!$B$3="sélectionner",""))),IF(E16=3,IF('Compte des résultats'!$B$3="orienté sur la chaîne de création de valeur",'Dropdown input'!$C$10,IF('Compte des résultats'!$B$3="intersectoriel",'Dropdown input'!$D$10, IF('Compte des résultats'!$B$3="sélectionner",""))),IF(E16=4,IF('Compte des résultats'!$B$3="orienté sur la chaîne de création de valeur",'Dropdown input'!$C$11,IF('Compte des résultats'!$B$3="intersectoriel",'Dropdown input'!$D$11, IF('Compte des résultats'!$B$3="sélectionner",""))),IF(E16=5,IF('Compte des résultats'!$B$3="orienté sur la chaîne de création de valeur",'Dropdown input'!$C$12,IF('Compte des résultats'!$B$3="intersectoriel",'Dropdown input'!$D$12, IF('Compte des résultats'!$B$3="sélectionner",""))),IF(E16=6,IF('Compte des résultats'!$B$3="orienté sur la chaîne de création de valeur",'Dropdown input'!$C$13,IF('Compte des résultats'!$B$3="intersectoriel",'Dropdown input'!$D$13, IF('Compte des résultats'!$B$3="sélectionner",""))),IF(E16=7,IF('Compte des résultats'!$B$3="orienté sur la chaîne de création de valeur",'Dropdown input'!$C$14,IF('Compte des résultats'!$B$3="intersectoriel",'Dropdown input'!$D$14, IF('Compte des résultats'!$B$3="sélectionner",""))),IF(E16=8,IF('Compte des résultats'!$B$3="orienté sur la chaîne de création de valeur",'Dropdown input'!$C$15,IF('Compte des résultats'!$B$3="intersectoriel",'Dropdown input'!$D$15, IF('Compte des résultats'!$B$3="sélectionner",""))),IF(E16=9,IF('Compte des résultats'!$B$3="orienté sur la chaîne de création de valeur",'Dropdown input'!$C$16,IF('Compte des résultats'!$B$3="intersectoriel",'Dropdown input'!$D$16, IF('Compte des résultats'!$B$3="sélectionner",""))),IF(E16=10,IF('Compte des résultats'!$B$3="orienté sur la chaîne de création de valeur",'Dropdown input'!$C$17,IF('Compte des résultats'!$B$3="intersectoriel",'Dropdown input'!$D$17, IF('Compte des résultats'!$B$3="sélectionner",""))),IF(E16=11,IF('Compte des résultats'!$B$3="orienté sur la chaîne de création de valeur",'Dropdown input'!$C$18,IF('Compte des résultats'!$B$3="intersectoriel",'Dropdown input'!$D$18, IF('Compte des résultats'!$B$3="sélectionner",""))),IF(E16="",""))))))))))))</f>
        <v/>
      </c>
      <c r="I16" s="396" t="str">
        <f t="shared" ref="I16" si="16">IFERROR(G16-G16*H16,"")</f>
        <v/>
      </c>
      <c r="J16" s="376" t="str">
        <f t="shared" si="8"/>
        <v/>
      </c>
      <c r="K16" s="507" t="str">
        <f>IF(E16=1,'Dropdown input'!$I$8,IF(E16=2,'Dropdown input'!$I$9,IF(E16=3,'Dropdown input'!$I$10,IF(E16=4,'Dropdown input'!$I$10,IF(E16=5,'Dropdown input'!$I$12,IF(E16=6,'Dropdown input'!$I$13,IF(E16=7,'Dropdown input'!$I$14,IF(E16=8,'Dropdown input'!$I$15,IF(E16=9,"veuillez clarifier spécifiquement avec l'OFAG",IF(E16=11,'Dropdown input'!$I$18,IF(E16=10,'Dropdown input'!$I$17,"")))))))))))</f>
        <v/>
      </c>
      <c r="L16" s="454" t="str">
        <f t="shared" si="0"/>
        <v/>
      </c>
      <c r="M16" s="377" t="str">
        <f>IF(E16=1,IF('Compte des résultats'!$B$3="orienté sur la chaîne de création de valeur",'Dropdown input'!$E$8,IF('Compte des résultats'!$B$3="intersectoriel",'Dropdown input'!$F$8,IF('Compte des résultats'!$B$3="sélectionner",""))),IF(E16=2,IF('Compte des résultats'!$B$3="orienté sur la chaîne de création de valeur",'Dropdown input'!$E$9,IF('Compte des résultats'!$B$3="intersectoriel",'Dropdown input'!$F$9,IF('Compte des résultats'!$B$3="sélectionner",""))),IF(E16=3,IF('Compte des résultats'!$B$3="orienté sur la chaîne de création de valeur",'Dropdown input'!$E$10,IF('Compte des résultats'!$B$3="intersectoriel",'Dropdown input'!$F$10,IF('Compte des résultats'!$B$3="sélectionner",""))),IF(E16=4,IF('Compte des résultats'!$B$3="orienté sur la chaîne de création de valeur",'Dropdown input'!$E$11,IF('Compte des résultats'!$B$3="intersectoriel",'Dropdown input'!$F$11,IF('Compte des résultats'!$B$3="sélectionner",""))),IF(E16=5,IF('Compte des résultats'!$B$3="orienté sur la chaîne de création de valeur",'Dropdown input'!$E$12,IF('Compte des résultats'!$B$3="intersectoriel",'Dropdown input'!$F$12,IF('Compte des résultats'!$B$3="sélectionner",""))),IF(E16=6,IF('Compte des résultats'!$B$3="orienté sur la chaîne de création de valeur",'Dropdown input'!$E$13,IF('Compte des résultats'!$B$3="intersectoriel",'Dropdown input'!$F$13,IF('Compte des résultats'!$B$3="sélectionner",""))),IF(E16=7,IF('Compte des résultats'!$B$3="orienté sur la chaîne de création de valeur",'Dropdown input'!$E$14,IF('Compte des résultats'!$B$3="intersectoriel",'Dropdown input'!$F$14,IF('Compte des résultats'!$B$3="sélectionner",""))),IF(E16=8,IF('Compte des résultats'!$B$3="orienté sur la chaîne de création de valeur",'Dropdown input'!$E$15,IF('Compte des résultats'!$B$3="intersectoriel",'Dropdown input'!$F$15,IF('Compte des résultats'!$B$3="sélectionner",""))),IF(E16=9,IF('Compte des résultats'!$B$3="orienté sur la chaîne de création de valeur",'Dropdown input'!$E$16,IF('Compte des résultats'!$B$3="intersectoriel",'Dropdown input'!$F$16,IF('Compte des résultats'!$B$3="sélectionner",""))),IF(E16=10,IF('Compte des résultats'!$B$3="orienté sur la chaîne de création de valeur",'Dropdown input'!$E$17,IF('Compte des résultats'!$B$3="intersectoriel",'Dropdown input'!$F$17,IF('Compte des résultats'!$B$3="sélectionner",""))),IF(E16=11,IF('Compte des résultats'!$B$3="orienté sur la chaîne de création de valeur",'Dropdown input'!$E$18,IF('Compte des résultats'!$B$3="intersectoriel",'Dropdown input'!$F$18,IF('Compte des résultats'!$B$3="sélectionner",""))),IF(E16="",""))))))))))))</f>
        <v/>
      </c>
      <c r="N16" s="378" t="str">
        <f t="shared" si="9"/>
        <v/>
      </c>
      <c r="O16" s="508" t="str">
        <f t="shared" si="1"/>
        <v/>
      </c>
      <c r="P16" s="454"/>
      <c r="Q16" s="460" t="str">
        <f t="shared" si="10"/>
        <v/>
      </c>
      <c r="R16" s="323" t="str">
        <f t="shared" si="11"/>
        <v/>
      </c>
      <c r="S16" s="324" t="str">
        <f t="shared" si="12"/>
        <v/>
      </c>
      <c r="T16" s="451" t="str">
        <f t="shared" si="14"/>
        <v/>
      </c>
      <c r="U16" s="325" t="str">
        <f t="shared" si="2"/>
        <v/>
      </c>
      <c r="V16" s="326"/>
      <c r="W16" s="327"/>
      <c r="X16" s="327"/>
      <c r="Y16" s="327"/>
      <c r="Z16" s="397" t="str">
        <f t="shared" si="3"/>
        <v/>
      </c>
      <c r="AA16" s="398">
        <f t="shared" ref="AA16" si="17">SUM(V16:Z16)</f>
        <v>0</v>
      </c>
      <c r="AB16" s="399" t="str">
        <f t="shared" si="4"/>
        <v>N/A</v>
      </c>
      <c r="AC16" s="326"/>
      <c r="AD16" s="322"/>
      <c r="AE16" s="326"/>
      <c r="AF16" s="322"/>
      <c r="AG16" s="326"/>
      <c r="AH16" s="326"/>
    </row>
    <row r="17" spans="1:34" ht="31.5" thickBot="1" x14ac:dyDescent="0.35">
      <c r="A17" s="340" t="s">
        <v>328</v>
      </c>
      <c r="B17" s="329"/>
      <c r="C17" s="329"/>
      <c r="D17" s="329"/>
      <c r="E17" s="329"/>
      <c r="F17" s="329"/>
      <c r="G17" s="330"/>
      <c r="H17" s="329"/>
      <c r="I17" s="329"/>
      <c r="J17" s="329"/>
      <c r="K17" s="329"/>
      <c r="L17" s="400">
        <f>IFERROR(SUM(L8:L16),"")</f>
        <v>0</v>
      </c>
      <c r="M17" s="329"/>
      <c r="N17" s="329"/>
      <c r="O17" s="400">
        <f>IFERROR(SUM(O8:O16),"")</f>
        <v>0</v>
      </c>
      <c r="P17" s="400">
        <f>IFERROR(SUM(P8:P16),"")</f>
        <v>0</v>
      </c>
      <c r="Q17" s="328"/>
      <c r="R17" s="329"/>
      <c r="S17" s="400">
        <f>IFERROR(SUM(S8:S16),"")</f>
        <v>0</v>
      </c>
      <c r="T17" s="400">
        <f>IFERROR(SUM(T8:T16),"")</f>
        <v>0</v>
      </c>
      <c r="U17" s="400"/>
      <c r="V17" s="400">
        <f t="shared" ref="V17:AA17" si="18">IFERROR(SUM(V8:V16),"")</f>
        <v>0</v>
      </c>
      <c r="W17" s="400">
        <f t="shared" si="18"/>
        <v>0</v>
      </c>
      <c r="X17" s="400">
        <f t="shared" si="18"/>
        <v>0</v>
      </c>
      <c r="Y17" s="400">
        <f t="shared" si="18"/>
        <v>0</v>
      </c>
      <c r="Z17" s="400">
        <f t="shared" si="18"/>
        <v>0</v>
      </c>
      <c r="AA17" s="400">
        <f t="shared" si="18"/>
        <v>0</v>
      </c>
      <c r="AB17" s="401" t="str">
        <f t="shared" si="4"/>
        <v>financement=coûts d'investissement</v>
      </c>
      <c r="AC17" s="330"/>
      <c r="AD17" s="330"/>
      <c r="AE17" s="330"/>
      <c r="AF17" s="330"/>
      <c r="AG17" s="330"/>
      <c r="AH17" s="330"/>
    </row>
    <row r="18" spans="1:34" s="402" customFormat="1" ht="16.5" thickTop="1" x14ac:dyDescent="0.35">
      <c r="R18" s="403"/>
    </row>
    <row r="20" spans="1:34" s="253" customFormat="1" ht="20.149999999999999" customHeight="1" x14ac:dyDescent="0.3">
      <c r="A20" s="342" t="s">
        <v>434</v>
      </c>
      <c r="B20" s="251"/>
      <c r="C20" s="251"/>
      <c r="D20" s="251"/>
      <c r="E20" s="251"/>
      <c r="F20" s="251"/>
      <c r="G20" s="251"/>
      <c r="H20" s="251"/>
      <c r="I20" s="251"/>
      <c r="J20" s="251"/>
      <c r="K20" s="251"/>
      <c r="L20" s="251"/>
      <c r="M20" s="251"/>
      <c r="N20" s="251"/>
      <c r="O20" s="251"/>
      <c r="P20" s="251"/>
      <c r="Q20" s="251"/>
      <c r="R20" s="251"/>
      <c r="S20" s="251"/>
      <c r="T20" s="251"/>
      <c r="U20" s="251"/>
      <c r="V20" s="251"/>
      <c r="W20" s="252"/>
      <c r="X20" s="251"/>
      <c r="Y20" s="251"/>
      <c r="Z20" s="251"/>
      <c r="AA20" s="251"/>
      <c r="AB20" s="251"/>
      <c r="AC20" s="251"/>
    </row>
    <row r="21" spans="1:34" s="267" customFormat="1" ht="68.150000000000006" customHeight="1" x14ac:dyDescent="0.3">
      <c r="A21" s="535" t="s">
        <v>435</v>
      </c>
      <c r="B21" s="535"/>
      <c r="C21" s="535"/>
      <c r="D21" s="535"/>
      <c r="E21" s="535"/>
      <c r="F21" s="535"/>
      <c r="G21" s="535"/>
      <c r="H21" s="535"/>
      <c r="I21" s="535"/>
      <c r="J21" s="280"/>
      <c r="K21" s="280"/>
      <c r="L21" s="280"/>
      <c r="M21" s="280"/>
      <c r="N21" s="280"/>
      <c r="O21" s="280"/>
      <c r="P21" s="280"/>
      <c r="Q21" s="280"/>
      <c r="R21" s="280"/>
      <c r="S21" s="280"/>
      <c r="T21" s="280"/>
      <c r="U21" s="280"/>
      <c r="V21" s="280"/>
      <c r="W21" s="280"/>
      <c r="X21" s="278"/>
      <c r="Y21" s="278"/>
      <c r="Z21" s="278"/>
      <c r="AA21" s="278"/>
      <c r="AB21" s="278"/>
      <c r="AC21" s="278"/>
    </row>
    <row r="22" spans="1:34" x14ac:dyDescent="0.3">
      <c r="W22" s="4"/>
      <c r="Y22" s="15"/>
    </row>
    <row r="23" spans="1:34" x14ac:dyDescent="0.3">
      <c r="A23" s="492" t="s">
        <v>301</v>
      </c>
      <c r="B23" s="493">
        <v>500000</v>
      </c>
      <c r="Y23" s="15"/>
      <c r="Z23" s="4"/>
    </row>
    <row r="24" spans="1:34" ht="31" x14ac:dyDescent="0.3">
      <c r="A24" s="287" t="s">
        <v>305</v>
      </c>
      <c r="B24" s="493">
        <v>10000</v>
      </c>
      <c r="Y24" s="15"/>
      <c r="Z24" s="4"/>
    </row>
    <row r="25" spans="1:34" x14ac:dyDescent="0.3">
      <c r="U25" s="15" t="s">
        <v>331</v>
      </c>
      <c r="Y25" s="15"/>
      <c r="Z25" s="4"/>
    </row>
    <row r="26" spans="1:34" s="4" customFormat="1" ht="79" outlineLevel="1" x14ac:dyDescent="0.3">
      <c r="A26" s="289" t="s">
        <v>415</v>
      </c>
      <c r="B26" s="289" t="s">
        <v>413</v>
      </c>
      <c r="C26" s="470" t="s">
        <v>412</v>
      </c>
      <c r="D26" s="470" t="s">
        <v>303</v>
      </c>
      <c r="E26" s="471" t="s">
        <v>304</v>
      </c>
      <c r="F26" s="289" t="s">
        <v>414</v>
      </c>
      <c r="G26" s="288" t="s">
        <v>306</v>
      </c>
      <c r="H26" s="289" t="s">
        <v>307</v>
      </c>
      <c r="I26" s="288" t="s">
        <v>308</v>
      </c>
      <c r="J26" s="481" t="s">
        <v>371</v>
      </c>
      <c r="K26" s="295" t="s">
        <v>309</v>
      </c>
      <c r="L26" s="299" t="s">
        <v>372</v>
      </c>
      <c r="M26" s="296" t="s">
        <v>310</v>
      </c>
      <c r="N26" s="482" t="s">
        <v>389</v>
      </c>
      <c r="O26" s="448" t="s">
        <v>387</v>
      </c>
      <c r="P26" s="457" t="s">
        <v>311</v>
      </c>
      <c r="Q26" s="287" t="s">
        <v>299</v>
      </c>
      <c r="R26" s="486" t="s">
        <v>375</v>
      </c>
      <c r="S26" s="486" t="s">
        <v>312</v>
      </c>
      <c r="T26" s="287" t="s">
        <v>313</v>
      </c>
      <c r="U26" s="295" t="s">
        <v>388</v>
      </c>
      <c r="V26" s="296" t="s">
        <v>314</v>
      </c>
      <c r="W26" s="296" t="s">
        <v>315</v>
      </c>
      <c r="X26" s="296" t="s">
        <v>287</v>
      </c>
      <c r="Y26" s="296" t="s">
        <v>316</v>
      </c>
      <c r="Z26" s="523" t="s">
        <v>317</v>
      </c>
      <c r="AA26" s="15"/>
      <c r="AB26" s="15"/>
      <c r="AC26" s="15"/>
      <c r="AD26" s="15"/>
    </row>
    <row r="27" spans="1:34" ht="65.5" customHeight="1" outlineLevel="1" x14ac:dyDescent="0.3">
      <c r="A27" s="488" t="s">
        <v>408</v>
      </c>
      <c r="B27" s="473">
        <v>0.2</v>
      </c>
      <c r="C27" s="372" t="s">
        <v>406</v>
      </c>
      <c r="D27" s="369" t="s">
        <v>397</v>
      </c>
      <c r="E27" s="373">
        <f>IF(D27="Investissements collectifs dans l'intérêt de l'ensemble du projet",1,IF(D27="Mise en place d'une branche de production dans l'exploitation agricole",2,IF(D27="ZM: Transformation, stockage et commercialisation en commun de produits agricoles régionaux",3,IF(D27="ZC: Transformation, stockage et commercialisation en commun de produits agricoles régionaux",4,IF(D27="Région de plaine : Transformation, stockage et commercialisation en commun de produits agricoles régionaux",5,IF(D27="Autres mesures dans l'intérêt du projet global (réduction min. 50%)",6,IF(D27="Bâtiments alpestres",7,IF(D27="Construction individuelle d'étables pour animaux consommant des fourrages grossiers",8,IF(D27="Mesures d'améliorations foncières",9,IF(D27="Mesures individuelles contribuant à la protection de l'environnement",10,IF(D27="…veuillez sélectionner la mesure","")))))))))))</f>
        <v>3</v>
      </c>
      <c r="F27" s="382" t="str">
        <f>IF(E28&lt;3,"",IF(E28&gt;3,"",IF(E28=3,IF(B27&gt;19%,"construction",IF(B27&lt;=19%,"PDR")))))</f>
        <v>construction</v>
      </c>
      <c r="G27" s="385">
        <f>IF($B$27&lt;0.8,($B$23-B24)*B27,$B$23)</f>
        <v>98000</v>
      </c>
      <c r="H27" s="375">
        <f>IF($B$27&lt;0.2,0.33,0)</f>
        <v>0</v>
      </c>
      <c r="I27" s="385">
        <f>IF(H27=0,G27,(1-H27)*G27)</f>
        <v>98000</v>
      </c>
      <c r="J27" s="376">
        <f>IF(E27=1,(IF(C27="Plaine",34%,IF(C27="ZC / ZM I",37%,IF(C27="ZM II - IV, région d'estivage",40%,)))),IF(E27=2,(IF(C27="Plaine",34%,IF(C27="ZC / ZM I",37%,IF(C27="ZM II - IV, région d'estivage",40%,)))),IF(E27=3,IF(F27="construction",22%,IF(C27="Plaine",34%,IF(C27="ZC / ZM I",37%,IF(C27="ZM II - IV, région d'estivage",40%,)))),IF(E27=4,37%,IF(E27=5,34%,IF(E27=6,(IF(C27="Plaine",34%,IF(C27="ZC / ZM I",37%,IF(C27="ZM II - IV, région d'estivage",40%,)))),IF(E27=7,"N/A",IF(E27=8,"N/A",IF(E27=9,"veuillez clarifier spécifiquement avec l'OFAG",IF(E27=10,"N/A",IF(E27="","")))))))))))</f>
        <v>0.22</v>
      </c>
      <c r="K27" s="377" t="str">
        <f>IF(E27=1,IF('Compte des résultats'!$B$3="orienté sur la chaîne de création de valeur",'Dropdown input'!$E$8,IF('Compte des résultats'!$B$3="intersectoriel",'Dropdown input'!$F$8,IF('Compte des résultats'!$B$3="sélectionner",""))),IF(E27=2,IF('Compte des résultats'!$B$3="orienté sur la chaîne de création de valeur",'Dropdown input'!$E$9,IF('Compte des résultats'!$B$3="intersectoriel",'Dropdown input'!$F$9,IF('Compte des résultats'!$B$3="sélectionner",""))),IF(E27=4,IF('Compte des résultats'!$B$3="orienté sur la chaîne de création de valeur",'Dropdown input'!$E$11,IF('Compte des résultats'!$B$3="intersectoriel",'Dropdown input'!$F$11,IF('Compte des résultats'!$B$3="sélectionner",""))),IF(E27=5,IF('Compte des résultats'!$B$3="orienté sur la chaîne de création de valeur",'Dropdown input'!$E$12,IF('Compte des résultats'!$B$3="intersectoriel",'Dropdown input'!$F$12,IF('Compte des résultats'!$B$3="sélectionner",""))),IF(E27=6,IF('Compte des résultats'!$B$3="orienté sur la chaîne de création de valeur",'Dropdown input'!$E$13,IF('Compte des résultats'!$B$3="intersectoriel",'Dropdown input'!$F$13,IF('Compte des résultats'!$B$3="sélectionner",""))),IF(E27=7,IF('Compte des résultats'!$B$3="orienté sur la chaîne de création de valeur",'Dropdown input'!$E$14,IF('Compte des résultats'!$B$3="intersectoriel",'Dropdown input'!$F$14,IF('Compte des résultats'!$B$3="sélectionner",""))),IF(E27=8,IF('Compte des résultats'!$B$3="orienté sur la chaîne de création de valeur",'Dropdown input'!$E$15,IF('Compte des résultats'!$B$3="intersectoriel",'Dropdown input'!$F$15,IF('Compte des résultats'!$B$3="sélectionner",""))),IF(E27=9,IF('Compte des résultats'!$B$3="orienté sur la chaîne de création de valeur",'Dropdown input'!$E$16,IF('Compte des résultats'!$B$3="intersectoriel",'Dropdown input'!$F$16,IF('Compte des résultats'!$B$3="sélectionner",""))),IF(E27=10,IF('Compte des résultats'!$B$3="orienté sur la chaîne de création de valeur",'Dropdown input'!$E$17,IF('Compte des résultats'!$B$3="intersectoriel",'Dropdown input'!$F$17,IF('Compte des résultats'!$B$3="sélectionner",""))),IF(E27="","",IF(E27=3,IF(F27="construction",IF('Compte des résultats'!$B$3="orienté sur la chaîne de création de valeur",'Dropdown input'!$E$10,IF('Compte des résultats'!$B$3="intersectoriel",'Dropdown input'!$F$10,IF('Compte des résultats'!$B$3="sélectionner","veuillez sélectionner le type PDR"))),IF(E27=3,IF(F27="PDR",IF('Compte des résultats'!$B$3="orienté sur la chaîne de création de valeur",'Dropdown input'!$E$11,IF('Compte des résultats'!$B$3="intersectoriel",'Dropdown input'!$F$11,IF('Compte des résultats'!$B$3="sélectionner","veuillez sélectionner le type PDR")))))))))))))))))</f>
        <v>veuillez sélectionner le type PDR</v>
      </c>
      <c r="L27" s="378" t="str">
        <f>IFERROR(J27+J27*K27,"")</f>
        <v/>
      </c>
      <c r="M27" s="379">
        <f>IF(E27=1,'Dropdown input'!$I$8,IF(E27=2,'Dropdown input'!$I$9,IF(F27="construction",'Dropdown input'!$I$10,IF(F27="PDR",'Dropdown input'!$I$11,IF(E27=4,'Dropdown input'!$I$10,IF(E27=5,'Dropdown input'!$I$12,IF(E27=6,'Dropdown input'!$I$13,IF(E27=7,'Dropdown input'!$I$14,IF(E27=8,'Dropdown input'!$I$15,IF(E27=9,"veuillez clarifier spécifiquement avec l'OFAG",IF(E27=10,'Dropdown input'!$I$17,"")))))))))))</f>
        <v>0.9</v>
      </c>
      <c r="N27" s="455" t="e">
        <f>I27*L27*M27</f>
        <v>#VALUE!</v>
      </c>
      <c r="O27" s="452"/>
      <c r="P27" s="458" t="str">
        <f>IFERROR((O27+N27)/I27,"")</f>
        <v/>
      </c>
      <c r="Q27" s="304" t="str">
        <f>IFERROR(IF(P27&lt;M27*L27,P27/M27,L27),"")</f>
        <v/>
      </c>
      <c r="R27" s="305" t="str">
        <f>IFERROR(Q27*I27,"")</f>
        <v/>
      </c>
      <c r="S27" s="449" t="str">
        <f>IFERROR(N27+R27+O27,"")</f>
        <v/>
      </c>
      <c r="T27" s="306" t="str">
        <f>IFERROR(S27/$B$23,"")</f>
        <v/>
      </c>
      <c r="U27" s="307"/>
      <c r="V27" s="308"/>
      <c r="W27" s="308"/>
      <c r="X27" s="308"/>
      <c r="Y27" s="380"/>
      <c r="Z27" s="381">
        <f>SUM(U27:Y27)</f>
        <v>0</v>
      </c>
    </row>
    <row r="28" spans="1:34" ht="48.65" customHeight="1" outlineLevel="1" x14ac:dyDescent="0.3">
      <c r="A28" s="489" t="s">
        <v>409</v>
      </c>
      <c r="B28" s="474">
        <v>0.5</v>
      </c>
      <c r="C28" s="372" t="s">
        <v>395</v>
      </c>
      <c r="D28" s="384" t="s">
        <v>397</v>
      </c>
      <c r="E28" s="373">
        <f>IF(D28="Investissements collectifs dans l'intérêt de l'ensemble du projet",1,IF(D28="Mise en place d'une branche de production dans l'exploitation agricole",2,IF(D28="ZM: Transformation, stockage et commercialisation en commun de produits agricoles régionaux",3,IF(D28="ZC: Transformation, stockage et commercialisation en commun de produits agricoles régionaux",4,IF(D28="Région de plaine : Transformation, stockage et commercialisation en commun de produits agricoles régionaux",5,IF(D28="Autres mesures dans l'intérêt du projet global (réduction min. 50%)",6,IF(D28="Bâtiments alpestres",7,IF(D28="Construction individuelle d'étables pour animaux consommant des fourrages grossiers",8,IF(D28="Mesures d'améliorations foncières",9,IF(D28="Mesures individuelles contribuant à la protection de l'environnement",10,IF(D28="…veuillez sélectionner la mesure","")))))))))))</f>
        <v>3</v>
      </c>
      <c r="F28" s="382" t="str">
        <f>IF(E28&lt;3,"",IF(E28&gt;3,"",IF(E28=3,IF(A28="Collines",IF(100%-$B$27&lt;=19%,"construction",IF(100%-$B$27&gt;19%,"PDR",))))))</f>
        <v>PDR</v>
      </c>
      <c r="G28" s="385">
        <f>IF($B$27&lt;0.8,($B$23-B24)*B28,0)</f>
        <v>245000</v>
      </c>
      <c r="H28" s="375">
        <f>IF($B$27&gt;0.79,1,IF(B28=0,1,0.33))</f>
        <v>0.33</v>
      </c>
      <c r="I28" s="385">
        <f>IF(H28=0,G28,(1-H28)*G28)</f>
        <v>164149.99999999997</v>
      </c>
      <c r="J28" s="376">
        <f>IF(E28=1,(IF(C28="Plaine",34%,IF(C28="ZC / ZM I",37%,IF(C28="ZM II - IV, région d'estivage",40%,)))),IF(E28=2,(IF(C28="Plaine",34%,IF(C28="ZC / ZM I",37%,IF(C28="ZM II - IV, région d'estivage",40%,)))),IF(E28=3,IF(F28="construction",22%,IF(C28="Plaine",34%,IF(C28="ZC / ZM I",37%,IF(C28="ZM II - IV, région d'estivage",40%,)))),IF(E28=4,37%,IF(E28=5,34%,IF(E28=6,(IF(C28="Plaine",34%,IF(C28="ZC / ZM I",37%,IF(C28="ZM II - IV, région d'estivage",40%,)))),IF(E28=7,"N/A",IF(E28=8,"N/A",IF(E28=9,"veuillez clarifier spécifiquement avec l'OFAG",IF(E28=10,"N/A",IF(E28="","")))))))))))</f>
        <v>0.37</v>
      </c>
      <c r="K28" s="377" t="str">
        <f>IF(E28=1,IF('Compte des résultats'!$B$3="orienté sur la chaîne de création de valeur",'Dropdown input'!$E$8,IF('Compte des résultats'!$B$3="intersectoriel",'Dropdown input'!$F$8,IF('Compte des résultats'!$B$3="sélectionner",""))),IF(E28=2,IF('Compte des résultats'!$B$3="orienté sur la chaîne de création de valeur",'Dropdown input'!$E$9,IF('Compte des résultats'!$B$3="intersectoriel",'Dropdown input'!$F$9,IF('Compte des résultats'!$B$3="sélectionner",""))),IF(E28=4,IF('Compte des résultats'!$B$3="orienté sur la chaîne de création de valeur",'Dropdown input'!$E$11,IF('Compte des résultats'!$B$3="intersectoriel",'Dropdown input'!$F$11,IF('Compte des résultats'!$B$3="sélectionner",""))),IF(E28=5,IF('Compte des résultats'!$B$3="orienté sur la chaîne de création de valeur",'Dropdown input'!$E$12,IF('Compte des résultats'!$B$3="intersectoriel",'Dropdown input'!$F$12,IF('Compte des résultats'!$B$3="sélectionner",""))),IF(E28=6,IF('Compte des résultats'!$B$3="orienté sur la chaîne de création de valeur",'Dropdown input'!$E$13,IF('Compte des résultats'!$B$3="intersectoriel",'Dropdown input'!$F$13,IF('Compte des résultats'!$B$3="sélectionner",""))),IF(E28=7,IF('Compte des résultats'!$B$3="orienté sur la chaîne de création de valeur",'Dropdown input'!$E$14,IF('Compte des résultats'!$B$3="intersectoriel",'Dropdown input'!$F$14,IF('Compte des résultats'!$B$3="sélectionner",""))),IF(E28=8,IF('Compte des résultats'!$B$3="orienté sur la chaîne de création de valeur",'Dropdown input'!$E$15,IF('Compte des résultats'!$B$3="intersectoriel",'Dropdown input'!$F$15,IF('Compte des résultats'!$B$3="sélectionner",""))),IF(E28=9,IF('Compte des résultats'!$B$3="orienté sur la chaîne de création de valeur",'Dropdown input'!$E$16,IF('Compte des résultats'!$B$3="intersectoriel",'Dropdown input'!$F$16,IF('Compte des résultats'!$B$3="sélectionner",""))),IF(E28=10,IF('Compte des résultats'!$B$3="orienté sur la chaîne de création de valeur",'Dropdown input'!$E$17,IF('Compte des résultats'!$B$3="intersectoriel",'Dropdown input'!$F$17,IF('Compte des résultats'!$B$3="sélectionner",""))),IF(E28="","",IF(E28=3,IF(F28="construction",IF('Compte des résultats'!$B$3="orienté sur la chaîne de création de valeur",'Dropdown input'!$E$10,IF('Compte des résultats'!$B$3="intersectoriel",'Dropdown input'!$F$10,IF('Compte des résultats'!$B$3="sélectionner","veuillez sélectionner le type PDR"))),IF(E28=3,IF(F28="PDR",IF('Compte des résultats'!$B$3="orienté sur la chaîne de création de valeur",'Dropdown input'!$E$11,IF('Compte des résultats'!$B$3="intersectoriel",'Dropdown input'!$F$11,IF('Compte des résultats'!$B$3="sélectionner","veuillez sélectionner le type PDR")))))))))))))))))</f>
        <v>veuillez sélectionner le type PDR</v>
      </c>
      <c r="L28" s="378" t="str">
        <f>IFERROR(J28+J28*K28,"")</f>
        <v/>
      </c>
      <c r="M28" s="484">
        <f>IF(E28=1,'Dropdown input'!$I$8,IF(E28=2,'Dropdown input'!$I$9,IF(F28="construction",'Dropdown input'!$I$10,IF(F28="PDR",'Dropdown input'!$I$11,IF(E28=4,'Dropdown input'!$I$10,IF(E28=5,'Dropdown input'!$I$12,IF(E28=6,'Dropdown input'!$I$13,IF(E28=7,'Dropdown input'!$I$14,IF(E28=8,'Dropdown input'!$I$15,IF(E28=9,"veuillez clarifier spécifiquement avec l'OFAG",IF(E28=10,'Dropdown input'!$I$17,"")))))))))))</f>
        <v>0.8</v>
      </c>
      <c r="N28" s="456" t="e">
        <f>I28*L28*M28</f>
        <v>#VALUE!</v>
      </c>
      <c r="O28" s="453"/>
      <c r="P28" s="459" t="str">
        <f>IFERROR((O28+N28)/I28,"")</f>
        <v/>
      </c>
      <c r="Q28" s="311" t="str">
        <f>IFERROR(IF(P28&lt;M28*L28,P28/M28,L28),"")</f>
        <v/>
      </c>
      <c r="R28" s="312" t="str">
        <f>IFERROR(Q28*I28,"")</f>
        <v/>
      </c>
      <c r="S28" s="450" t="str">
        <f>IFERROR(N28+R28+O28,"")</f>
        <v/>
      </c>
      <c r="T28" s="306" t="str">
        <f>IFERROR(S28/$B$23,"")</f>
        <v/>
      </c>
      <c r="U28" s="313"/>
      <c r="V28" s="314"/>
      <c r="W28" s="314"/>
      <c r="X28" s="314"/>
      <c r="Y28" s="386"/>
      <c r="Z28" s="387">
        <f>SUM(U28:Y28)</f>
        <v>0</v>
      </c>
    </row>
    <row r="29" spans="1:34" ht="48.65" customHeight="1" outlineLevel="1" x14ac:dyDescent="0.3">
      <c r="A29" s="490" t="s">
        <v>410</v>
      </c>
      <c r="B29" s="475">
        <v>0.3</v>
      </c>
      <c r="C29" s="383" t="s">
        <v>410</v>
      </c>
      <c r="D29" s="384" t="s">
        <v>397</v>
      </c>
      <c r="E29" s="476">
        <f>IF(D29="Investissements collectifs dans l'intérêt de l'ensemble du projet",1,IF(D29="Mise en place d'une branche de production dans l'exploitation agricole",2,IF(D29="ZM: Transformation, stockage et commercialisation en commun de produits agricoles régionaux",3,IF(D29="ZC: Transformation, stockage et commercialisation en commun de produits agricoles régionaux",4,IF(D29="Région de plaine : Transformation, stockage et commercialisation en commun de produits agricoles régionaux",5,IF(D29="Autres mesures dans l'intérêt du projet global (réduction min. 50%)",6,IF(D29="Bâtiments alpestres",7,IF(D29="Construction individuelle d'étables pour animaux consommant des fourrages grossiers",8,IF(D29="Mesures d'améliorations foncières",9,IF(D29="Mesures individuelles contribuant à la protection de l'environnement",10,IF(D29="…veuillez sélectionner la mesure","")))))))))))</f>
        <v>3</v>
      </c>
      <c r="F29" s="382" t="str">
        <f>IF(E29&lt;3,"",IF(E29&gt;3,"",IF(E29=3,IF(A29="Plaine",IF(100%-$B$27&lt;=19%,"construction",IF(100%-$B$27&gt;19%,"PDR"))))))</f>
        <v>PDR</v>
      </c>
      <c r="G29" s="385">
        <f>IF($B$27&lt;0.8,($B$23-B24)*B29,0)</f>
        <v>147000</v>
      </c>
      <c r="H29" s="375">
        <f>IF($B$27&gt;0.79,1,IF(B29=0,1,0.33))</f>
        <v>0.33</v>
      </c>
      <c r="I29" s="385">
        <f>IF(H29=0,G29,(1-H29)*G29)</f>
        <v>98489.999999999985</v>
      </c>
      <c r="J29" s="376">
        <f>IF(E29=1,(IF(C29="Plaine",34%,IF(C29="ZC / ZM I",37%,IF(C29="ZM II - IV, région d'estivage",40%,)))),IF(E29=2,(IF(C29="Plaine",34%,IF(C29="ZC / ZM I",37%,IF(C29="ZM II - IV, région d'estivage",40%,)))),IF(E29=3,IF(F29="construction",22%,IF(C29="Plaine",34%,IF(C29="ZC / ZM I",37%,IF(C29="ZM II - IV, région d'estivage",40%,)))),IF(E29=4,37%,IF(E29=5,34%,IF(E29=6,(IF(C29="Plaine",34%,IF(C29="ZC / ZM I",37%,IF(C29="ZM II - IV, région d'estivage",40%,)))),IF(E29=7,"N/A",IF(E29=8,"N/A",IF(E29=9,"veuillez clarifier spécifiquement avec l'OFAG",IF(E29=10,"N/A",IF(E29="","")))))))))))</f>
        <v>0.34</v>
      </c>
      <c r="K29" s="377" t="str">
        <f>IF(E29=1,IF('Compte des résultats'!$B$3="orienté sur la chaîne de création de valeur",'Dropdown input'!$E$8,IF('Compte des résultats'!$B$3="intersectoriel",'Dropdown input'!$F$8,IF('Compte des résultats'!$B$3="sélectionner",""))),IF(E29=2,IF('Compte des résultats'!$B$3="orienté sur la chaîne de création de valeur",'Dropdown input'!$E$9,IF('Compte des résultats'!$B$3="intersectoriel",'Dropdown input'!$F$9,IF('Compte des résultats'!$B$3="sélectionner",""))),IF(E29=4,IF('Compte des résultats'!$B$3="orienté sur la chaîne de création de valeur",'Dropdown input'!$E$11,IF('Compte des résultats'!$B$3="intersectoriel",'Dropdown input'!$F$11,IF('Compte des résultats'!$B$3="sélectionner",""))),IF(E29=5,IF('Compte des résultats'!$B$3="orienté sur la chaîne de création de valeur",'Dropdown input'!$E$12,IF('Compte des résultats'!$B$3="intersectoriel",'Dropdown input'!$F$12,IF('Compte des résultats'!$B$3="sélectionner",""))),IF(E29=6,IF('Compte des résultats'!$B$3="orienté sur la chaîne de création de valeur",'Dropdown input'!$E$13,IF('Compte des résultats'!$B$3="intersectoriel",'Dropdown input'!$F$13,IF('Compte des résultats'!$B$3="sélectionner",""))),IF(E29=7,IF('Compte des résultats'!$B$3="orienté sur la chaîne de création de valeur",'Dropdown input'!$E$14,IF('Compte des résultats'!$B$3="intersectoriel",'Dropdown input'!$F$14,IF('Compte des résultats'!$B$3="sélectionner",""))),IF(E29=8,IF('Compte des résultats'!$B$3="orienté sur la chaîne de création de valeur",'Dropdown input'!$E$15,IF('Compte des résultats'!$B$3="intersectoriel",'Dropdown input'!$F$15,IF('Compte des résultats'!$B$3="sélectionner",""))),IF(E29=9,IF('Compte des résultats'!$B$3="orienté sur la chaîne de création de valeur",'Dropdown input'!$E$16,IF('Compte des résultats'!$B$3="intersectoriel",'Dropdown input'!$F$16,IF('Compte des résultats'!$B$3="sélectionner",""))),IF(E29=10,IF('Compte des résultats'!$B$3="orienté sur la chaîne de création de valeur",'Dropdown input'!$E$17,IF('Compte des résultats'!$B$3="intersectoriel",'Dropdown input'!$F$17,IF('Compte des résultats'!$B$3="sélectionner",""))),IF(E29="","",IF(E29=3,IF(F29="construction",IF('Compte des résultats'!$B$3="orienté sur la chaîne de création de valeur",'Dropdown input'!$E$10,IF('Compte des résultats'!$B$3="intersectoriel",'Dropdown input'!$F$10,IF('Compte des résultats'!$B$3="sélectionner","veuillez sélectionner le type PDR"))),IF(E29=3,IF(F29="PDR",IF('Compte des résultats'!$B$3="orienté sur la chaîne de création de valeur",'Dropdown input'!$E$11,IF('Compte des résultats'!$B$3="intersectoriel",'Dropdown input'!$F$11,IF('Compte des résultats'!$B$3="sélectionner","veuillez sélectionner le type PDR")))))))))))))))))</f>
        <v>veuillez sélectionner le type PDR</v>
      </c>
      <c r="L29" s="378" t="str">
        <f>IFERROR(J29+J29*K29,"")</f>
        <v/>
      </c>
      <c r="M29" s="485">
        <f>IF(E29=1,'Dropdown input'!$I$8,IF(E29=2,'Dropdown input'!$I$9,IF(F29="construction",'Dropdown input'!$I$10,IF(F29="PDR",'Dropdown input'!$I$11,IF(E29=4,'Dropdown input'!$I$10,IF(E29=5,'Dropdown input'!$I$12,IF(E29=6,'Dropdown input'!$I$13,IF(E29=7,'Dropdown input'!$I$14,IF(E29=8,'Dropdown input'!$I$15,IF(E29=9,"veuillez clarifier spécifiquement avec l'OFAG",IF(E29=10,'Dropdown input'!$I$17,"")))))))))))</f>
        <v>0.8</v>
      </c>
      <c r="N29" s="456" t="e">
        <f>I29*L29*M29</f>
        <v>#VALUE!</v>
      </c>
      <c r="O29" s="453"/>
      <c r="P29" s="459" t="str">
        <f>IFERROR((O29+N29)/I29,"")</f>
        <v/>
      </c>
      <c r="Q29" s="311" t="str">
        <f>IFERROR(IF(P29&lt;M29*L29,P29/M29,L29),"")</f>
        <v/>
      </c>
      <c r="R29" s="312" t="str">
        <f>IFERROR(Q29*I29,"")</f>
        <v/>
      </c>
      <c r="S29" s="450" t="str">
        <f>IFERROR(N29+R29+O29,"")</f>
        <v/>
      </c>
      <c r="T29" s="306" t="str">
        <f>IFERROR(S29/$B$23,"")</f>
        <v/>
      </c>
      <c r="U29" s="313"/>
      <c r="V29" s="314"/>
      <c r="W29" s="314"/>
      <c r="X29" s="314"/>
      <c r="Y29" s="386"/>
      <c r="Z29" s="387">
        <f>SUM(U29:Y29)</f>
        <v>0</v>
      </c>
    </row>
    <row r="30" spans="1:34" ht="78" thickBot="1" x14ac:dyDescent="0.35">
      <c r="A30" s="472"/>
      <c r="B30" s="494">
        <f>IF(SUM(B27:B29)=1,SUM(B27:B29),"La somme doit être 100%!")</f>
        <v>1</v>
      </c>
      <c r="C30" s="491"/>
      <c r="D30" s="463" t="s">
        <v>397</v>
      </c>
      <c r="E30" s="477">
        <f>IF(D30="Investissements collectifs dans l'intérêt de l'ensemble du projet",1,IF(D30="Mise en place d'une branche de production dans l'exploitation agricole",2,IF(D30="ZM: Transformation, stockage et commercialisation en commun de produits agricoles régionaux",3,IF(D30="ZC: Transformation, stockage et commercialisation en commun de produits agricoles régionaux",4,IF(D30="Région de plaine : Transformation, stockage et commercialisation en commun de produits agricoles régionaux",5,IF(D30="Autres mesures dans l'intérêt du projet global (réduction min. 50%)",6,IF(D30="Bâtiments alpestres",7,IF(D30="Construction individuelle d'étables pour animaux consommant des fourrages grossiers",8,IF(D30="Mesures d'améliorations foncières",9,IF(D30="Mesures individuelles contribuant à la protection de l'environnement",10,IF(D30="…veuillez sélectionner la mesure","")))))))))))</f>
        <v>3</v>
      </c>
      <c r="F30" s="464"/>
      <c r="G30" s="478">
        <f>B23-B24</f>
        <v>490000</v>
      </c>
      <c r="H30" s="479">
        <f>IF($B$27&gt;0.79,0,(B27*H27+B28*H28+B29*H29))</f>
        <v>0.26400000000000001</v>
      </c>
      <c r="I30" s="478">
        <f>G30*(1-H30)</f>
        <v>360640</v>
      </c>
      <c r="J30" s="480">
        <f>IF(I28&gt;0,(($I$27/$I$30)*J27+($I$28/$I$30)*J28+($I$29/$I$30)*J29),J27)</f>
        <v>0.32104619565217385</v>
      </c>
      <c r="K30" s="465" t="e">
        <f>(L30-J30)/J30</f>
        <v>#VALUE!</v>
      </c>
      <c r="L30" s="483" t="e">
        <f>($I$27/$I$30)*L27+($I$28/$I$30)*L28+($I$29/$I$30)*L29</f>
        <v>#VALUE!</v>
      </c>
      <c r="M30" s="466" t="e">
        <f>N30/(I30*L30)</f>
        <v>#VALUE!</v>
      </c>
      <c r="N30" s="478" t="e">
        <f>SUM(N27:N29)</f>
        <v>#VALUE!</v>
      </c>
      <c r="O30" s="467">
        <f>SUM(O27:O29)</f>
        <v>0</v>
      </c>
      <c r="P30" s="483" t="str">
        <f>IFERROR((O30+N30)/I30,"")</f>
        <v/>
      </c>
      <c r="Q30" s="468" t="str">
        <f>IFERROR(IF(P30&lt;M30*L30,P30/M30,L30),"")</f>
        <v/>
      </c>
      <c r="R30" s="478" t="str">
        <f>IFERROR(Q30*I30,"")</f>
        <v/>
      </c>
      <c r="S30" s="469">
        <f>SUM(S27:S29)</f>
        <v>0</v>
      </c>
      <c r="T30" s="487">
        <f>IFERROR(S30/B23,"")</f>
        <v>0</v>
      </c>
      <c r="U30" s="469">
        <f>SUM(U27:U29)</f>
        <v>0</v>
      </c>
      <c r="V30" s="469">
        <f>SUM(V27:V29)</f>
        <v>0</v>
      </c>
      <c r="W30" s="469">
        <f>SUM(W27:W29)</f>
        <v>0</v>
      </c>
      <c r="X30" s="469">
        <f>SUM(X27:X29)</f>
        <v>0</v>
      </c>
      <c r="Y30" s="469">
        <f>IFERROR(B23-U30-V30-W30-X30-S30,"")</f>
        <v>500000</v>
      </c>
      <c r="Z30" s="469">
        <f>SUM(U30:Y30)</f>
        <v>500000</v>
      </c>
    </row>
    <row r="31" spans="1:34" ht="16" thickTop="1" x14ac:dyDescent="0.3"/>
    <row r="67" spans="1:1" x14ac:dyDescent="0.3">
      <c r="A67" s="277"/>
    </row>
  </sheetData>
  <mergeCells count="2">
    <mergeCell ref="A5:I5"/>
    <mergeCell ref="A21:I21"/>
  </mergeCells>
  <conditionalFormatting sqref="B30">
    <cfRule type="cellIs" dxfId="49" priority="1" operator="notEqual">
      <formula>1</formula>
    </cfRule>
  </conditionalFormatting>
  <conditionalFormatting sqref="Q30">
    <cfRule type="expression" dxfId="48" priority="4">
      <formula>$Q$27&lt;(#REF!*$K$27)</formula>
    </cfRule>
  </conditionalFormatting>
  <dataValidations count="1">
    <dataValidation type="list" allowBlank="1" showInputMessage="1" showErrorMessage="1" sqref="G19" xr:uid="{00000000-0002-0000-0100-000000000000}">
      <formula1>$B$11:$B$13</formula1>
    </dataValidation>
  </dataValidations>
  <pageMargins left="0.7" right="0.7" top="0.78740157499999996" bottom="0.78740157499999996" header="0.3" footer="0.3"/>
  <pageSetup paperSize="9" scale="23" fitToHeight="0" orientation="landscape" r:id="rId1"/>
  <ignoredErrors>
    <ignoredError sqref="F17:J17 L8:L16 I9:I16 F10:G10 F8:G8 F9:G9 N8 N9 N10:N16 M8:M16 O9:O10 Q9:Q10 F12:G16 G11 O12:O17 Q12:Q16"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 input'!$B$22:$B$25</xm:f>
          </x14:formula1>
          <xm:sqref>C8:C16</xm:sqref>
        </x14:dataValidation>
        <x14:dataValidation type="list" allowBlank="1" showInputMessage="1" showErrorMessage="1" xr:uid="{00000000-0002-0000-0100-000002000000}">
          <x14:formula1>
            <xm:f>'Dropdown input'!$B$7:$B$18</xm:f>
          </x14:formula1>
          <xm:sqref>D8:D16</xm:sqref>
        </x14:dataValidation>
        <x14:dataValidation type="list" allowBlank="1" showInputMessage="1" showErrorMessage="1" xr:uid="{00000000-0002-0000-0100-000003000000}">
          <x14:formula1>
            <xm:f>'Dropdown input'!$B$7:$B$17</xm:f>
          </x14:formula1>
          <xm:sqref>D30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AE134"/>
  <sheetViews>
    <sheetView showGridLines="0" view="pageBreakPreview" zoomScale="90" zoomScaleNormal="100" zoomScaleSheetLayoutView="90" workbookViewId="0">
      <selection activeCell="A15" sqref="A15"/>
    </sheetView>
  </sheetViews>
  <sheetFormatPr baseColWidth="10" defaultColWidth="11" defaultRowHeight="14" outlineLevelRow="1" x14ac:dyDescent="0.3"/>
  <cols>
    <col min="1" max="1" width="52.58203125" style="7" customWidth="1"/>
    <col min="2" max="2" width="19.08203125" style="7" bestFit="1" customWidth="1"/>
    <col min="3" max="3" width="14.08203125" style="7" customWidth="1"/>
    <col min="4" max="4" width="11" style="7"/>
    <col min="5" max="10" width="11" style="7" customWidth="1"/>
    <col min="11" max="11" width="30.08203125" style="7" customWidth="1"/>
    <col min="12" max="12" width="22.5" style="7" customWidth="1"/>
    <col min="13" max="14" width="16.58203125" style="7" customWidth="1"/>
    <col min="15" max="15" width="8.33203125" style="7" customWidth="1"/>
    <col min="16" max="16" width="41.33203125" style="7" customWidth="1"/>
    <col min="17" max="16384" width="11" style="7"/>
  </cols>
  <sheetData>
    <row r="1" spans="1:31" s="14" customFormat="1" ht="24.65" customHeight="1" x14ac:dyDescent="0.3">
      <c r="A1" s="342" t="s">
        <v>430</v>
      </c>
      <c r="B1" s="13"/>
      <c r="C1" s="13"/>
      <c r="D1" s="13"/>
      <c r="E1" s="13"/>
      <c r="F1" s="13"/>
      <c r="G1" s="13"/>
      <c r="H1" s="13"/>
      <c r="I1" s="13"/>
      <c r="J1" s="13"/>
      <c r="K1" s="13"/>
      <c r="L1" s="13"/>
      <c r="M1" s="13"/>
      <c r="N1" s="13"/>
      <c r="O1" s="13"/>
      <c r="P1" s="13"/>
      <c r="Q1" s="9"/>
      <c r="R1" s="9"/>
      <c r="S1" s="9"/>
      <c r="T1" s="9"/>
      <c r="U1" s="9"/>
      <c r="V1" s="9"/>
      <c r="W1" s="9"/>
      <c r="X1" s="9"/>
      <c r="Y1" s="9"/>
      <c r="Z1" s="9"/>
      <c r="AA1" s="9"/>
      <c r="AB1" s="9"/>
      <c r="AC1" s="9"/>
      <c r="AD1" s="9"/>
      <c r="AE1" s="9"/>
    </row>
    <row r="2" spans="1:31" s="70" customFormat="1" ht="22.5" customHeight="1" x14ac:dyDescent="0.3">
      <c r="A2" s="5" t="s">
        <v>0</v>
      </c>
      <c r="B2" s="69"/>
      <c r="C2" s="6"/>
      <c r="D2" s="11"/>
      <c r="E2" s="5" t="s">
        <v>1</v>
      </c>
      <c r="F2" s="69"/>
      <c r="G2" s="11"/>
      <c r="H2" s="11"/>
      <c r="I2" s="11"/>
      <c r="J2" s="11"/>
      <c r="K2" s="11"/>
      <c r="L2" s="11"/>
      <c r="M2" s="11"/>
      <c r="N2" s="11"/>
      <c r="O2" s="11"/>
    </row>
    <row r="3" spans="1:31" s="70" customFormat="1" ht="21" customHeight="1" x14ac:dyDescent="0.3">
      <c r="A3" s="71" t="s">
        <v>2</v>
      </c>
      <c r="B3" s="72" t="s">
        <v>3</v>
      </c>
      <c r="C3" s="73"/>
      <c r="D3" s="74"/>
      <c r="E3" s="74"/>
      <c r="F3" s="74"/>
      <c r="G3" s="74"/>
      <c r="H3" s="74"/>
      <c r="I3" s="74"/>
      <c r="J3" s="74"/>
      <c r="K3" s="74"/>
      <c r="L3" s="74"/>
      <c r="M3" s="74"/>
      <c r="N3" s="74"/>
      <c r="O3" s="74"/>
      <c r="P3" s="74"/>
    </row>
    <row r="4" spans="1:31" ht="7" customHeight="1" thickBot="1" x14ac:dyDescent="0.35">
      <c r="A4" s="75"/>
    </row>
    <row r="5" spans="1:31" ht="49.5" customHeight="1" thickTop="1" x14ac:dyDescent="0.3">
      <c r="A5" s="536" t="s">
        <v>381</v>
      </c>
      <c r="B5" s="537"/>
      <c r="C5" s="537"/>
      <c r="D5" s="537"/>
      <c r="E5" s="537"/>
      <c r="F5" s="537"/>
      <c r="G5" s="537"/>
      <c r="H5" s="537"/>
      <c r="I5" s="537"/>
      <c r="J5" s="537"/>
      <c r="K5" s="537"/>
      <c r="L5" s="537"/>
      <c r="M5" s="537"/>
      <c r="N5" s="537"/>
      <c r="O5" s="537"/>
      <c r="P5" s="538"/>
    </row>
    <row r="6" spans="1:31" ht="19" customHeight="1" thickBot="1" x14ac:dyDescent="0.35">
      <c r="A6" s="76"/>
      <c r="B6" s="76"/>
      <c r="C6" s="76"/>
      <c r="D6" s="76"/>
      <c r="E6" s="76"/>
      <c r="F6" s="76"/>
      <c r="G6" s="76"/>
      <c r="H6" s="76"/>
      <c r="I6" s="76"/>
      <c r="J6" s="76"/>
      <c r="K6" s="76"/>
      <c r="L6" s="76"/>
      <c r="M6" s="76"/>
      <c r="N6" s="77"/>
      <c r="O6" s="77"/>
      <c r="P6" s="78"/>
    </row>
    <row r="7" spans="1:31" ht="14.5" thickTop="1" x14ac:dyDescent="0.3">
      <c r="A7" s="75"/>
      <c r="N7" s="79"/>
    </row>
    <row r="8" spans="1:31" s="86" customFormat="1" ht="26.15" customHeight="1" x14ac:dyDescent="0.3">
      <c r="A8" s="80" t="s">
        <v>4</v>
      </c>
      <c r="B8" s="81"/>
      <c r="C8" s="81"/>
      <c r="D8" s="81"/>
      <c r="E8" s="81"/>
      <c r="F8" s="81"/>
      <c r="G8" s="81"/>
      <c r="H8" s="81"/>
      <c r="I8" s="81"/>
      <c r="J8" s="81"/>
      <c r="K8" s="81"/>
      <c r="L8" s="82"/>
      <c r="M8" s="83"/>
      <c r="N8" s="84"/>
      <c r="O8" s="85"/>
      <c r="P8" s="85"/>
    </row>
    <row r="9" spans="1:31" outlineLevel="1" x14ac:dyDescent="0.3">
      <c r="A9" s="87" t="s">
        <v>5</v>
      </c>
      <c r="B9" s="88"/>
      <c r="C9" s="88"/>
      <c r="D9" s="88"/>
      <c r="E9" s="88"/>
      <c r="F9" s="88"/>
      <c r="G9" s="88"/>
      <c r="H9" s="88"/>
      <c r="I9" s="88"/>
      <c r="J9" s="88"/>
      <c r="K9" s="88"/>
      <c r="L9" s="89"/>
      <c r="M9" s="89"/>
      <c r="N9" s="87"/>
      <c r="O9" s="88"/>
      <c r="P9" s="88"/>
    </row>
    <row r="10" spans="1:31" s="96" customFormat="1" ht="39" outlineLevel="1" x14ac:dyDescent="0.3">
      <c r="A10" s="90"/>
      <c r="B10" s="91" t="s">
        <v>6</v>
      </c>
      <c r="C10" s="92" t="str">
        <f>'Compte des résultats'!C15</f>
        <v>n = année précédente</v>
      </c>
      <c r="D10" s="92" t="str">
        <f>'Compte des résultats'!D15</f>
        <v>n+1 
(1re année du PDR)</v>
      </c>
      <c r="E10" s="92" t="str">
        <f>'Compte des résultats'!E15</f>
        <v>n+2</v>
      </c>
      <c r="F10" s="92" t="str">
        <f>'Compte des résultats'!F15</f>
        <v>n+3</v>
      </c>
      <c r="G10" s="92" t="str">
        <f>'Compte des résultats'!G15</f>
        <v>n+4</v>
      </c>
      <c r="H10" s="92" t="str">
        <f>'Compte des résultats'!H15</f>
        <v>n+5</v>
      </c>
      <c r="I10" s="92" t="str">
        <f>'Compte des résultats'!I15</f>
        <v>n+6</v>
      </c>
      <c r="J10" s="92" t="str">
        <f>'Compte des résultats'!J15</f>
        <v>1re année après la mise en oeuvre</v>
      </c>
      <c r="K10" s="93" t="s">
        <v>7</v>
      </c>
      <c r="L10" s="94" t="s">
        <v>8</v>
      </c>
      <c r="M10" s="95"/>
      <c r="N10" s="95"/>
    </row>
    <row r="11" spans="1:31" outlineLevel="1" x14ac:dyDescent="0.3">
      <c r="A11" s="97" t="s">
        <v>9</v>
      </c>
      <c r="B11" s="98"/>
      <c r="C11" s="99"/>
      <c r="D11" s="100"/>
      <c r="E11" s="100"/>
      <c r="F11" s="100"/>
      <c r="G11" s="100"/>
      <c r="H11" s="100"/>
      <c r="I11" s="101"/>
      <c r="J11" s="98"/>
      <c r="K11" s="102"/>
      <c r="L11" s="103"/>
    </row>
    <row r="12" spans="1:31" outlineLevel="1" x14ac:dyDescent="0.3">
      <c r="A12" s="104" t="s">
        <v>10</v>
      </c>
      <c r="B12" s="105" t="s">
        <v>11</v>
      </c>
      <c r="C12" s="106">
        <v>6000</v>
      </c>
      <c r="D12" s="107">
        <f>C12+D13*C12</f>
        <v>8400</v>
      </c>
      <c r="E12" s="107">
        <f t="shared" ref="E12:H12" si="0">D12+E13*D12</f>
        <v>9240</v>
      </c>
      <c r="F12" s="107">
        <f t="shared" si="0"/>
        <v>10626</v>
      </c>
      <c r="G12" s="107">
        <f t="shared" si="0"/>
        <v>11688.6</v>
      </c>
      <c r="H12" s="107">
        <f t="shared" si="0"/>
        <v>13441.89</v>
      </c>
      <c r="I12" s="108">
        <f>H12+I13*H12</f>
        <v>15458.173499999999</v>
      </c>
      <c r="J12" s="108">
        <f>I12+J13*I12</f>
        <v>17776.899525000001</v>
      </c>
      <c r="K12" s="109">
        <f>SUM(C12:I12)</f>
        <v>74854.663499999995</v>
      </c>
      <c r="L12" s="103"/>
    </row>
    <row r="13" spans="1:31" outlineLevel="1" x14ac:dyDescent="0.3">
      <c r="A13" s="110" t="s">
        <v>12</v>
      </c>
      <c r="B13" s="111" t="s">
        <v>13</v>
      </c>
      <c r="C13" s="112"/>
      <c r="D13" s="113">
        <v>0.4</v>
      </c>
      <c r="E13" s="113">
        <v>0.1</v>
      </c>
      <c r="F13" s="113">
        <v>0.15</v>
      </c>
      <c r="G13" s="113">
        <v>0.1</v>
      </c>
      <c r="H13" s="113">
        <v>0.15</v>
      </c>
      <c r="I13" s="113">
        <v>0.15</v>
      </c>
      <c r="J13" s="113">
        <v>0.15</v>
      </c>
      <c r="K13" s="114">
        <f>AVERAGE(D13:I13)</f>
        <v>0.17500000000000002</v>
      </c>
      <c r="L13" s="115" t="s">
        <v>14</v>
      </c>
      <c r="M13" s="116"/>
      <c r="N13" s="116"/>
    </row>
    <row r="14" spans="1:31" outlineLevel="1" x14ac:dyDescent="0.3">
      <c r="A14" s="110" t="s">
        <v>15</v>
      </c>
      <c r="B14" s="111" t="s">
        <v>16</v>
      </c>
      <c r="C14" s="117">
        <v>10</v>
      </c>
      <c r="D14" s="118">
        <v>10</v>
      </c>
      <c r="E14" s="118">
        <v>10</v>
      </c>
      <c r="F14" s="118">
        <v>10</v>
      </c>
      <c r="G14" s="118">
        <v>10</v>
      </c>
      <c r="H14" s="118">
        <v>10</v>
      </c>
      <c r="I14" s="118">
        <v>10</v>
      </c>
      <c r="J14" s="118">
        <v>10</v>
      </c>
      <c r="K14" s="119">
        <f>AVERAGE(C14:I14)</f>
        <v>10</v>
      </c>
      <c r="L14" s="115"/>
      <c r="M14" s="116"/>
      <c r="N14" s="116"/>
    </row>
    <row r="15" spans="1:31" outlineLevel="1" x14ac:dyDescent="0.3">
      <c r="A15" s="104" t="s">
        <v>17</v>
      </c>
      <c r="B15" s="105" t="s">
        <v>18</v>
      </c>
      <c r="C15" s="106">
        <f>C12/C14</f>
        <v>600</v>
      </c>
      <c r="D15" s="120">
        <f t="shared" ref="D15:J15" si="1">D12/D14</f>
        <v>840</v>
      </c>
      <c r="E15" s="120">
        <f t="shared" si="1"/>
        <v>924</v>
      </c>
      <c r="F15" s="120">
        <f t="shared" si="1"/>
        <v>1062.5999999999999</v>
      </c>
      <c r="G15" s="120">
        <f t="shared" si="1"/>
        <v>1168.8600000000001</v>
      </c>
      <c r="H15" s="120">
        <f t="shared" si="1"/>
        <v>1344.1889999999999</v>
      </c>
      <c r="I15" s="120">
        <f t="shared" si="1"/>
        <v>1545.8173499999998</v>
      </c>
      <c r="J15" s="120">
        <f t="shared" si="1"/>
        <v>1777.6899525000001</v>
      </c>
      <c r="K15" s="121">
        <f>SUM(C15:I15)</f>
        <v>7485.4663499999988</v>
      </c>
      <c r="L15" s="122"/>
      <c r="M15" s="123"/>
      <c r="N15" s="123"/>
    </row>
    <row r="16" spans="1:31" ht="3.65" customHeight="1" outlineLevel="1" x14ac:dyDescent="0.3">
      <c r="A16" s="104"/>
      <c r="B16" s="105"/>
      <c r="C16" s="124"/>
      <c r="D16" s="125"/>
      <c r="E16" s="125"/>
      <c r="F16" s="125"/>
      <c r="G16" s="125"/>
      <c r="H16" s="125"/>
      <c r="I16" s="126"/>
      <c r="J16" s="126"/>
      <c r="K16" s="127"/>
      <c r="L16" s="128"/>
    </row>
    <row r="17" spans="1:17" outlineLevel="1" x14ac:dyDescent="0.3">
      <c r="A17" s="129" t="s">
        <v>19</v>
      </c>
      <c r="B17" s="130"/>
      <c r="C17" s="131"/>
      <c r="D17" s="132"/>
      <c r="E17" s="132"/>
      <c r="F17" s="132"/>
      <c r="G17" s="132"/>
      <c r="H17" s="132"/>
      <c r="I17" s="133"/>
      <c r="J17" s="133"/>
      <c r="K17" s="134"/>
      <c r="L17" s="128"/>
    </row>
    <row r="18" spans="1:17" outlineLevel="1" x14ac:dyDescent="0.3">
      <c r="A18" s="104" t="s">
        <v>20</v>
      </c>
      <c r="B18" s="105" t="s">
        <v>21</v>
      </c>
      <c r="C18" s="135">
        <v>0.55000000000000004</v>
      </c>
      <c r="D18" s="136">
        <v>0.55000000000000004</v>
      </c>
      <c r="E18" s="136">
        <v>0.55000000000000004</v>
      </c>
      <c r="F18" s="136">
        <v>0.55000000000000004</v>
      </c>
      <c r="G18" s="136">
        <v>0.55000000000000004</v>
      </c>
      <c r="H18" s="136">
        <v>0.55000000000000004</v>
      </c>
      <c r="I18" s="137">
        <v>0.55000000000000004</v>
      </c>
      <c r="J18" s="137">
        <v>1.55</v>
      </c>
      <c r="K18" s="138">
        <f>AVERAGE(C18:I18)</f>
        <v>0.54999999999999993</v>
      </c>
      <c r="L18" s="122"/>
      <c r="M18" s="116"/>
      <c r="N18" s="116"/>
    </row>
    <row r="19" spans="1:17" outlineLevel="1" x14ac:dyDescent="0.3">
      <c r="A19" s="104" t="s">
        <v>22</v>
      </c>
      <c r="B19" s="105" t="s">
        <v>23</v>
      </c>
      <c r="C19" s="135">
        <v>0.6</v>
      </c>
      <c r="D19" s="139">
        <f>C19*C20+C19</f>
        <v>0.61199999999999999</v>
      </c>
      <c r="E19" s="139">
        <f t="shared" ref="E19:H19" si="2">D19*D20+D19</f>
        <v>0.59975999999999996</v>
      </c>
      <c r="F19" s="139">
        <f t="shared" si="2"/>
        <v>0.58776479999999998</v>
      </c>
      <c r="G19" s="139">
        <f t="shared" si="2"/>
        <v>0.60539774400000002</v>
      </c>
      <c r="H19" s="139">
        <f t="shared" si="2"/>
        <v>0.60539774400000002</v>
      </c>
      <c r="I19" s="140">
        <f>H19*H20+H19</f>
        <v>0.60539774400000002</v>
      </c>
      <c r="J19" s="140">
        <f>I19*I20+I19</f>
        <v>0.59328978911999997</v>
      </c>
      <c r="K19" s="138">
        <f>AVERAGE(C19:I19)</f>
        <v>0.60224543314285728</v>
      </c>
      <c r="L19" s="122"/>
      <c r="M19" s="123"/>
      <c r="N19" s="123"/>
    </row>
    <row r="20" spans="1:17" outlineLevel="1" x14ac:dyDescent="0.3">
      <c r="A20" s="110" t="s">
        <v>24</v>
      </c>
      <c r="B20" s="111" t="s">
        <v>25</v>
      </c>
      <c r="C20" s="112">
        <v>0.02</v>
      </c>
      <c r="D20" s="141">
        <v>-0.02</v>
      </c>
      <c r="E20" s="141">
        <v>-0.02</v>
      </c>
      <c r="F20" s="141">
        <v>0.03</v>
      </c>
      <c r="G20" s="113">
        <v>0</v>
      </c>
      <c r="H20" s="113">
        <v>0</v>
      </c>
      <c r="I20" s="142">
        <f>-2%</f>
        <v>-0.02</v>
      </c>
      <c r="J20" s="142">
        <f>-2%</f>
        <v>-0.02</v>
      </c>
      <c r="K20" s="138">
        <f>AVERAGE(C20:I20)</f>
        <v>-1.4285714285714288E-3</v>
      </c>
      <c r="L20" s="122"/>
      <c r="M20" s="116"/>
      <c r="N20" s="116"/>
    </row>
    <row r="21" spans="1:17" outlineLevel="1" x14ac:dyDescent="0.3">
      <c r="A21" s="104" t="s">
        <v>26</v>
      </c>
      <c r="B21" s="105" t="s">
        <v>27</v>
      </c>
      <c r="C21" s="143">
        <f>C19*C14</f>
        <v>6</v>
      </c>
      <c r="D21" s="144">
        <f t="shared" ref="D21:H21" si="3">D19*D14</f>
        <v>6.12</v>
      </c>
      <c r="E21" s="144">
        <f t="shared" si="3"/>
        <v>5.9975999999999994</v>
      </c>
      <c r="F21" s="144">
        <f t="shared" si="3"/>
        <v>5.8776479999999998</v>
      </c>
      <c r="G21" s="144">
        <f t="shared" si="3"/>
        <v>6.0539774400000006</v>
      </c>
      <c r="H21" s="144">
        <f t="shared" si="3"/>
        <v>6.0539774400000006</v>
      </c>
      <c r="I21" s="145">
        <f>I19*I14</f>
        <v>6.0539774400000006</v>
      </c>
      <c r="J21" s="145">
        <f>J19*J14</f>
        <v>5.9328978911999997</v>
      </c>
      <c r="K21" s="138">
        <f>AVERAGE(C21:I21)</f>
        <v>6.0224543314285706</v>
      </c>
      <c r="L21" s="122"/>
      <c r="M21" s="116"/>
      <c r="N21" s="116"/>
    </row>
    <row r="22" spans="1:17" ht="3.65" customHeight="1" outlineLevel="1" x14ac:dyDescent="0.3">
      <c r="A22" s="104"/>
      <c r="B22" s="105"/>
      <c r="C22" s="124"/>
      <c r="D22" s="125"/>
      <c r="E22" s="125"/>
      <c r="F22" s="125"/>
      <c r="G22" s="125"/>
      <c r="H22" s="125"/>
      <c r="I22" s="126"/>
      <c r="J22" s="126"/>
      <c r="K22" s="127"/>
      <c r="L22" s="128"/>
    </row>
    <row r="23" spans="1:17" outlineLevel="1" x14ac:dyDescent="0.3">
      <c r="A23" s="146" t="s">
        <v>28</v>
      </c>
      <c r="B23" s="105" t="s">
        <v>29</v>
      </c>
      <c r="C23" s="147">
        <v>1.2</v>
      </c>
      <c r="D23" s="148">
        <v>1.2</v>
      </c>
      <c r="E23" s="148">
        <v>1.2</v>
      </c>
      <c r="F23" s="148">
        <v>1.2</v>
      </c>
      <c r="G23" s="148">
        <v>1.2</v>
      </c>
      <c r="H23" s="148">
        <v>1.2</v>
      </c>
      <c r="I23" s="149">
        <v>1.2</v>
      </c>
      <c r="J23" s="149">
        <v>2.2000000000000002</v>
      </c>
      <c r="K23" s="138">
        <f>AVERAGE(C23:I23)</f>
        <v>1.2</v>
      </c>
      <c r="L23" s="122"/>
      <c r="M23" s="116"/>
      <c r="N23" s="116"/>
    </row>
    <row r="24" spans="1:17" ht="3.65" customHeight="1" outlineLevel="1" x14ac:dyDescent="0.3">
      <c r="A24" s="104"/>
      <c r="B24" s="105"/>
      <c r="C24" s="124"/>
      <c r="D24" s="125"/>
      <c r="E24" s="125"/>
      <c r="F24" s="125"/>
      <c r="G24" s="125"/>
      <c r="H24" s="125"/>
      <c r="I24" s="126"/>
      <c r="J24" s="126"/>
      <c r="K24" s="127"/>
      <c r="L24" s="128"/>
    </row>
    <row r="25" spans="1:17" outlineLevel="1" x14ac:dyDescent="0.3">
      <c r="A25" s="146" t="s">
        <v>30</v>
      </c>
      <c r="B25" s="105" t="s">
        <v>31</v>
      </c>
      <c r="C25" s="150">
        <v>0.3</v>
      </c>
      <c r="D25" s="151">
        <v>0.3</v>
      </c>
      <c r="E25" s="151">
        <v>0.3</v>
      </c>
      <c r="F25" s="151">
        <v>0.35</v>
      </c>
      <c r="G25" s="151">
        <v>0.35</v>
      </c>
      <c r="H25" s="151">
        <v>0.35</v>
      </c>
      <c r="I25" s="152">
        <v>0.35</v>
      </c>
      <c r="J25" s="152">
        <v>0.35</v>
      </c>
      <c r="K25" s="138">
        <f>AVERAGE(C25:I25)</f>
        <v>0.32857142857142863</v>
      </c>
      <c r="L25" s="122"/>
      <c r="M25" s="116"/>
      <c r="N25" s="116"/>
    </row>
    <row r="26" spans="1:17" outlineLevel="1" x14ac:dyDescent="0.3">
      <c r="A26" s="146" t="s">
        <v>32</v>
      </c>
      <c r="B26" s="105" t="s">
        <v>33</v>
      </c>
      <c r="C26" s="143">
        <f>(C21+C23)/(1-C25)</f>
        <v>10.285714285714286</v>
      </c>
      <c r="D26" s="144">
        <f>(D21+D23)/(1-D25)</f>
        <v>10.457142857142859</v>
      </c>
      <c r="E26" s="144">
        <f t="shared" ref="E26:H26" si="4">(E21+E23)/(1-E25)</f>
        <v>10.282285714285715</v>
      </c>
      <c r="F26" s="144">
        <f t="shared" si="4"/>
        <v>10.888689230769231</v>
      </c>
      <c r="G26" s="144">
        <f t="shared" si="4"/>
        <v>11.159965292307692</v>
      </c>
      <c r="H26" s="144">
        <f t="shared" si="4"/>
        <v>11.159965292307692</v>
      </c>
      <c r="I26" s="145">
        <f>(I21+I23)/(1-I25)</f>
        <v>11.159965292307692</v>
      </c>
      <c r="J26" s="145">
        <f>(J21+J23)/(1-J25)</f>
        <v>12.512150601846152</v>
      </c>
      <c r="K26" s="138">
        <f>AVERAGE(C26:I26)</f>
        <v>10.770532566405024</v>
      </c>
      <c r="L26" s="122"/>
      <c r="M26" s="123"/>
      <c r="N26" s="123"/>
    </row>
    <row r="27" spans="1:17" ht="3.65" customHeight="1" outlineLevel="1" x14ac:dyDescent="0.3">
      <c r="A27" s="104"/>
      <c r="B27" s="105"/>
      <c r="C27" s="124"/>
      <c r="D27" s="125"/>
      <c r="E27" s="125"/>
      <c r="F27" s="125"/>
      <c r="G27" s="125"/>
      <c r="H27" s="125"/>
      <c r="I27" s="126"/>
      <c r="J27" s="126"/>
      <c r="K27" s="127"/>
      <c r="L27" s="103"/>
      <c r="Q27" s="125"/>
    </row>
    <row r="28" spans="1:17" s="96" customFormat="1" ht="13" outlineLevel="1" x14ac:dyDescent="0.3">
      <c r="A28" s="153" t="s">
        <v>34</v>
      </c>
      <c r="B28" s="154" t="s">
        <v>35</v>
      </c>
      <c r="C28" s="155">
        <f>C15*C26</f>
        <v>6171.4285714285716</v>
      </c>
      <c r="D28" s="156">
        <f t="shared" ref="D28:H28" si="5">D15*D26</f>
        <v>8784.0000000000018</v>
      </c>
      <c r="E28" s="156">
        <f t="shared" si="5"/>
        <v>9500.8320000000003</v>
      </c>
      <c r="F28" s="156">
        <f t="shared" si="5"/>
        <v>11570.321176615384</v>
      </c>
      <c r="G28" s="156">
        <f t="shared" si="5"/>
        <v>13044.437031566771</v>
      </c>
      <c r="H28" s="156">
        <f t="shared" si="5"/>
        <v>15001.102586301784</v>
      </c>
      <c r="I28" s="157">
        <f>I15*I26</f>
        <v>17251.26797424705</v>
      </c>
      <c r="J28" s="157">
        <f>J15*J26</f>
        <v>22242.724409068735</v>
      </c>
      <c r="K28" s="158">
        <f>SUM(C28:I28)</f>
        <v>81323.389340159571</v>
      </c>
      <c r="L28" s="159" t="s">
        <v>36</v>
      </c>
    </row>
    <row r="29" spans="1:17" s="96" customFormat="1" ht="13" outlineLevel="1" x14ac:dyDescent="0.3">
      <c r="A29" s="160" t="s">
        <v>37</v>
      </c>
      <c r="B29" s="161" t="s">
        <v>38</v>
      </c>
      <c r="C29" s="162">
        <f>C12*C19+C23*C15</f>
        <v>4320</v>
      </c>
      <c r="D29" s="163">
        <f t="shared" ref="D29:H29" si="6">D12*D19+D23*D15</f>
        <v>6148.8</v>
      </c>
      <c r="E29" s="163">
        <f t="shared" si="6"/>
        <v>6650.5824000000002</v>
      </c>
      <c r="F29" s="163">
        <f t="shared" si="6"/>
        <v>7520.7087647999997</v>
      </c>
      <c r="G29" s="163">
        <f t="shared" si="6"/>
        <v>8478.8840705184011</v>
      </c>
      <c r="H29" s="163">
        <f t="shared" si="6"/>
        <v>9750.7166810961608</v>
      </c>
      <c r="I29" s="164">
        <f>I12*I19+I23*I15</f>
        <v>11213.324183260582</v>
      </c>
      <c r="J29" s="164">
        <f>J12*J19+J23*J15</f>
        <v>14457.770865894679</v>
      </c>
      <c r="K29" s="158">
        <f>SUM(C29:I29)</f>
        <v>54083.016099675151</v>
      </c>
      <c r="L29" s="159" t="s">
        <v>39</v>
      </c>
    </row>
    <row r="30" spans="1:17" s="96" customFormat="1" ht="13.5" outlineLevel="1" thickBot="1" x14ac:dyDescent="0.35">
      <c r="A30" s="165" t="s">
        <v>40</v>
      </c>
      <c r="B30" s="166" t="s">
        <v>41</v>
      </c>
      <c r="C30" s="167">
        <f>C28-C29</f>
        <v>1851.4285714285716</v>
      </c>
      <c r="D30" s="168">
        <f t="shared" ref="D30:H30" si="7">D28-D29</f>
        <v>2635.2000000000016</v>
      </c>
      <c r="E30" s="168">
        <f t="shared" si="7"/>
        <v>2850.2496000000001</v>
      </c>
      <c r="F30" s="168">
        <f t="shared" si="7"/>
        <v>4049.6124118153839</v>
      </c>
      <c r="G30" s="168">
        <f t="shared" si="7"/>
        <v>4565.55296104837</v>
      </c>
      <c r="H30" s="168">
        <f t="shared" si="7"/>
        <v>5250.3859052056232</v>
      </c>
      <c r="I30" s="169">
        <f>I28-I29</f>
        <v>6037.9437909864682</v>
      </c>
      <c r="J30" s="169">
        <f>J28-J29</f>
        <v>7784.9535431740551</v>
      </c>
      <c r="K30" s="170">
        <f>SUM(C30:I30)</f>
        <v>27240.37324048442</v>
      </c>
    </row>
    <row r="31" spans="1:17" ht="14.5" outlineLevel="1" thickTop="1" x14ac:dyDescent="0.3">
      <c r="A31" s="171"/>
      <c r="B31" s="172"/>
      <c r="C31" s="173"/>
      <c r="D31" s="173"/>
      <c r="E31" s="173"/>
      <c r="F31" s="173"/>
      <c r="G31" s="173"/>
      <c r="H31" s="173"/>
      <c r="I31" s="173"/>
      <c r="J31" s="173"/>
      <c r="L31" s="173"/>
      <c r="M31" s="173"/>
    </row>
    <row r="32" spans="1:17" outlineLevel="1" x14ac:dyDescent="0.3">
      <c r="A32" s="87" t="s">
        <v>42</v>
      </c>
      <c r="B32" s="88"/>
      <c r="C32" s="88"/>
      <c r="D32" s="88"/>
      <c r="E32" s="88"/>
      <c r="F32" s="88"/>
      <c r="G32" s="88"/>
      <c r="H32" s="88"/>
      <c r="I32" s="88"/>
      <c r="J32" s="88"/>
      <c r="K32" s="88"/>
      <c r="L32" s="88"/>
      <c r="M32" s="88"/>
      <c r="N32" s="88"/>
      <c r="O32" s="88"/>
      <c r="P32" s="88"/>
    </row>
    <row r="33" spans="1:16" s="96" customFormat="1" ht="39" outlineLevel="1" x14ac:dyDescent="0.3">
      <c r="A33" s="90"/>
      <c r="B33" s="91" t="s">
        <v>43</v>
      </c>
      <c r="C33" s="92" t="str">
        <f>'Compte des résultats'!C15</f>
        <v>n = année précédente</v>
      </c>
      <c r="D33" s="92" t="str">
        <f>'Compte des résultats'!D15</f>
        <v>n+1 
(1re année du PDR)</v>
      </c>
      <c r="E33" s="92" t="str">
        <f>'Compte des résultats'!E15</f>
        <v>n+2</v>
      </c>
      <c r="F33" s="92" t="str">
        <f>'Compte des résultats'!F15</f>
        <v>n+3</v>
      </c>
      <c r="G33" s="92" t="str">
        <f>'Compte des résultats'!G15</f>
        <v>n+4</v>
      </c>
      <c r="H33" s="92" t="str">
        <f>'Compte des résultats'!H15</f>
        <v>n+5</v>
      </c>
      <c r="I33" s="92" t="str">
        <f>'Compte des résultats'!I15</f>
        <v>n+6</v>
      </c>
      <c r="J33" s="92" t="str">
        <f>'Compte des résultats'!J15</f>
        <v>1re année après la mise en oeuvre</v>
      </c>
      <c r="K33" s="93" t="s">
        <v>44</v>
      </c>
      <c r="L33" s="94" t="s">
        <v>45</v>
      </c>
      <c r="M33" s="95"/>
      <c r="N33" s="95"/>
    </row>
    <row r="34" spans="1:16" outlineLevel="1" x14ac:dyDescent="0.3">
      <c r="A34" s="97" t="s">
        <v>46</v>
      </c>
      <c r="B34" s="98"/>
      <c r="C34" s="99"/>
      <c r="D34" s="100"/>
      <c r="E34" s="100"/>
      <c r="F34" s="100"/>
      <c r="G34" s="100"/>
      <c r="H34" s="100"/>
      <c r="I34" s="101"/>
      <c r="J34" s="101"/>
      <c r="K34" s="174"/>
      <c r="L34" s="103"/>
    </row>
    <row r="35" spans="1:16" outlineLevel="1" x14ac:dyDescent="0.3">
      <c r="A35" s="104" t="s">
        <v>47</v>
      </c>
      <c r="B35" s="105" t="s">
        <v>48</v>
      </c>
      <c r="C35" s="106">
        <v>0</v>
      </c>
      <c r="D35" s="120">
        <f>52*3</f>
        <v>156</v>
      </c>
      <c r="E35" s="107">
        <f>D35*(1+E36)</f>
        <v>171.60000000000002</v>
      </c>
      <c r="F35" s="107">
        <f t="shared" ref="F35:H35" si="8">E35*(1+F36)</f>
        <v>188.76000000000005</v>
      </c>
      <c r="G35" s="107">
        <f t="shared" si="8"/>
        <v>207.63600000000008</v>
      </c>
      <c r="H35" s="107">
        <f t="shared" si="8"/>
        <v>228.39960000000011</v>
      </c>
      <c r="I35" s="175">
        <f>H35*(1+I36)</f>
        <v>251.23956000000013</v>
      </c>
      <c r="J35" s="175">
        <f>I35*(1+J36)</f>
        <v>527.60307600000033</v>
      </c>
      <c r="K35" s="109">
        <f>SUM(C35:I35)</f>
        <v>1203.6351600000005</v>
      </c>
      <c r="L35" s="122"/>
      <c r="M35" s="116"/>
      <c r="N35" s="116"/>
    </row>
    <row r="36" spans="1:16" outlineLevel="1" x14ac:dyDescent="0.3">
      <c r="A36" s="110" t="s">
        <v>49</v>
      </c>
      <c r="B36" s="111" t="s">
        <v>50</v>
      </c>
      <c r="C36" s="112"/>
      <c r="D36" s="113"/>
      <c r="E36" s="113">
        <v>0.1</v>
      </c>
      <c r="F36" s="113">
        <v>0.1</v>
      </c>
      <c r="G36" s="113">
        <v>0.1</v>
      </c>
      <c r="H36" s="113">
        <v>0.1</v>
      </c>
      <c r="I36" s="176">
        <v>0.1</v>
      </c>
      <c r="J36" s="176">
        <v>1.1000000000000001</v>
      </c>
      <c r="K36" s="114">
        <f>AVERAGE(D36:I36)</f>
        <v>0.1</v>
      </c>
      <c r="L36" s="122"/>
      <c r="M36" s="116"/>
      <c r="N36" s="116"/>
    </row>
    <row r="37" spans="1:16" outlineLevel="1" x14ac:dyDescent="0.3">
      <c r="A37" s="104" t="s">
        <v>51</v>
      </c>
      <c r="B37" s="105" t="s">
        <v>52</v>
      </c>
      <c r="C37" s="106">
        <v>0</v>
      </c>
      <c r="D37" s="120">
        <v>40</v>
      </c>
      <c r="E37" s="120">
        <v>40</v>
      </c>
      <c r="F37" s="120">
        <v>40</v>
      </c>
      <c r="G37" s="120">
        <v>40</v>
      </c>
      <c r="H37" s="120">
        <v>40</v>
      </c>
      <c r="I37" s="177">
        <v>40</v>
      </c>
      <c r="J37" s="177">
        <v>41</v>
      </c>
      <c r="K37" s="178">
        <f>SUM(C37:I37)</f>
        <v>240</v>
      </c>
      <c r="L37" s="122"/>
      <c r="M37" s="116"/>
      <c r="N37" s="116"/>
    </row>
    <row r="38" spans="1:16" outlineLevel="1" x14ac:dyDescent="0.3">
      <c r="A38" s="104" t="s">
        <v>53</v>
      </c>
      <c r="B38" s="105" t="s">
        <v>54</v>
      </c>
      <c r="C38" s="179"/>
      <c r="D38" s="107">
        <f>D37/(1-D39)</f>
        <v>80</v>
      </c>
      <c r="E38" s="107">
        <f t="shared" ref="E38:H38" si="9">E37/(1-E39)</f>
        <v>88.8888888888889</v>
      </c>
      <c r="F38" s="107">
        <f t="shared" si="9"/>
        <v>100</v>
      </c>
      <c r="G38" s="107">
        <f t="shared" si="9"/>
        <v>100</v>
      </c>
      <c r="H38" s="107">
        <f t="shared" si="9"/>
        <v>100</v>
      </c>
      <c r="I38" s="175">
        <f>I37/(1-I39)</f>
        <v>100</v>
      </c>
      <c r="J38" s="175">
        <f>J37/(1-J39)</f>
        <v>102.5</v>
      </c>
      <c r="K38" s="121">
        <f>AVERAGE(C38:I38)</f>
        <v>94.814814814814824</v>
      </c>
      <c r="L38" s="122"/>
      <c r="M38" s="116"/>
      <c r="N38" s="116"/>
    </row>
    <row r="39" spans="1:16" outlineLevel="1" x14ac:dyDescent="0.3">
      <c r="A39" s="104" t="s">
        <v>55</v>
      </c>
      <c r="B39" s="105" t="s">
        <v>56</v>
      </c>
      <c r="C39" s="150"/>
      <c r="D39" s="180">
        <v>0.5</v>
      </c>
      <c r="E39" s="151">
        <v>0.55000000000000004</v>
      </c>
      <c r="F39" s="151">
        <v>0.6</v>
      </c>
      <c r="G39" s="151">
        <v>0.6</v>
      </c>
      <c r="H39" s="151">
        <v>0.6</v>
      </c>
      <c r="I39" s="181">
        <v>0.6</v>
      </c>
      <c r="J39" s="181">
        <v>0.6</v>
      </c>
      <c r="K39" s="182">
        <f>AVERAGE(C39:I39)</f>
        <v>0.57500000000000007</v>
      </c>
      <c r="L39" s="122"/>
      <c r="M39" s="116"/>
      <c r="N39" s="116"/>
    </row>
    <row r="40" spans="1:16" ht="3.65" customHeight="1" outlineLevel="1" x14ac:dyDescent="0.3">
      <c r="A40" s="104"/>
      <c r="B40" s="105"/>
      <c r="C40" s="124"/>
      <c r="D40" s="125"/>
      <c r="E40" s="125"/>
      <c r="F40" s="125"/>
      <c r="G40" s="125"/>
      <c r="H40" s="125"/>
      <c r="I40" s="128"/>
      <c r="J40" s="128"/>
      <c r="K40" s="102"/>
      <c r="L40" s="159"/>
      <c r="M40" s="173"/>
      <c r="N40" s="8"/>
    </row>
    <row r="41" spans="1:16" s="96" customFormat="1" outlineLevel="1" x14ac:dyDescent="0.3">
      <c r="A41" s="153" t="s">
        <v>57</v>
      </c>
      <c r="B41" s="154"/>
      <c r="C41" s="155">
        <f>C35*C38</f>
        <v>0</v>
      </c>
      <c r="D41" s="156">
        <f t="shared" ref="D41:H41" si="10">D35*D38</f>
        <v>12480</v>
      </c>
      <c r="E41" s="156">
        <f t="shared" si="10"/>
        <v>15253.333333333338</v>
      </c>
      <c r="F41" s="156">
        <f t="shared" si="10"/>
        <v>18876.000000000004</v>
      </c>
      <c r="G41" s="156">
        <f t="shared" si="10"/>
        <v>20763.600000000009</v>
      </c>
      <c r="H41" s="156">
        <f t="shared" si="10"/>
        <v>22839.96000000001</v>
      </c>
      <c r="I41" s="183">
        <f>I35*I38</f>
        <v>25123.956000000013</v>
      </c>
      <c r="J41" s="183">
        <f>J35*J38</f>
        <v>54079.315290000035</v>
      </c>
      <c r="K41" s="184">
        <f>SUM(C41:I41)</f>
        <v>115336.84933333338</v>
      </c>
      <c r="L41" s="159" t="s">
        <v>58</v>
      </c>
      <c r="M41" s="173"/>
      <c r="N41" s="8"/>
    </row>
    <row r="42" spans="1:16" s="96" customFormat="1" outlineLevel="1" x14ac:dyDescent="0.3">
      <c r="A42" s="160" t="s">
        <v>59</v>
      </c>
      <c r="B42" s="161"/>
      <c r="C42" s="162">
        <f>C35*C37</f>
        <v>0</v>
      </c>
      <c r="D42" s="163">
        <f t="shared" ref="D42:H42" si="11">D35*D37</f>
        <v>6240</v>
      </c>
      <c r="E42" s="163">
        <f t="shared" si="11"/>
        <v>6864.0000000000009</v>
      </c>
      <c r="F42" s="163">
        <f t="shared" si="11"/>
        <v>7550.4000000000015</v>
      </c>
      <c r="G42" s="163">
        <f t="shared" si="11"/>
        <v>8305.4400000000023</v>
      </c>
      <c r="H42" s="163">
        <f t="shared" si="11"/>
        <v>9135.984000000004</v>
      </c>
      <c r="I42" s="185">
        <f>I35*I37</f>
        <v>10049.582400000005</v>
      </c>
      <c r="J42" s="185">
        <f>J35*J37</f>
        <v>21631.726116000013</v>
      </c>
      <c r="K42" s="184">
        <f>SUM(C42:I42)</f>
        <v>48145.406400000014</v>
      </c>
      <c r="L42" s="159" t="s">
        <v>60</v>
      </c>
      <c r="M42" s="186"/>
      <c r="N42" s="8"/>
    </row>
    <row r="43" spans="1:16" s="96" customFormat="1" ht="14.5" outlineLevel="1" thickBot="1" x14ac:dyDescent="0.35">
      <c r="A43" s="165" t="s">
        <v>61</v>
      </c>
      <c r="B43" s="166" t="s">
        <v>62</v>
      </c>
      <c r="C43" s="167">
        <f>C41-C42</f>
        <v>0</v>
      </c>
      <c r="D43" s="168">
        <f>D41-D42</f>
        <v>6240</v>
      </c>
      <c r="E43" s="168">
        <f t="shared" ref="E43:H43" si="12">E41-E42</f>
        <v>8389.3333333333358</v>
      </c>
      <c r="F43" s="168">
        <f t="shared" si="12"/>
        <v>11325.600000000002</v>
      </c>
      <c r="G43" s="168">
        <f t="shared" si="12"/>
        <v>12458.160000000007</v>
      </c>
      <c r="H43" s="168">
        <f t="shared" si="12"/>
        <v>13703.976000000006</v>
      </c>
      <c r="I43" s="187">
        <f>I41-I42</f>
        <v>15074.373600000008</v>
      </c>
      <c r="J43" s="187">
        <f>J41-J42</f>
        <v>32447.589174000022</v>
      </c>
      <c r="K43" s="188">
        <f>SUM(C43:I43)</f>
        <v>67191.442933333354</v>
      </c>
      <c r="L43" s="189"/>
      <c r="M43" s="190"/>
      <c r="N43" s="8"/>
    </row>
    <row r="44" spans="1:16" ht="14.5" outlineLevel="1" thickTop="1" x14ac:dyDescent="0.3">
      <c r="A44" s="171"/>
      <c r="B44" s="172"/>
      <c r="C44" s="173"/>
      <c r="D44" s="173"/>
      <c r="E44" s="173"/>
      <c r="F44" s="173"/>
      <c r="G44" s="173"/>
      <c r="H44" s="173"/>
      <c r="I44" s="173"/>
      <c r="J44" s="173"/>
      <c r="L44" s="173"/>
      <c r="M44" s="173"/>
    </row>
    <row r="45" spans="1:16" outlineLevel="1" x14ac:dyDescent="0.3">
      <c r="A45" s="87" t="s">
        <v>63</v>
      </c>
      <c r="B45" s="88"/>
      <c r="C45" s="88"/>
      <c r="D45" s="88"/>
      <c r="E45" s="88"/>
      <c r="F45" s="88"/>
      <c r="G45" s="88"/>
      <c r="H45" s="88"/>
      <c r="I45" s="88"/>
      <c r="J45" s="88"/>
      <c r="K45" s="88"/>
      <c r="L45" s="88"/>
      <c r="M45" s="88"/>
      <c r="N45" s="88"/>
      <c r="O45" s="88"/>
      <c r="P45" s="88"/>
    </row>
    <row r="46" spans="1:16" s="96" customFormat="1" ht="39" outlineLevel="1" x14ac:dyDescent="0.3">
      <c r="A46" s="90"/>
      <c r="B46" s="91" t="s">
        <v>64</v>
      </c>
      <c r="C46" s="92" t="str">
        <f>'Compte des résultats'!C15</f>
        <v>n = année précédente</v>
      </c>
      <c r="D46" s="92" t="str">
        <f>'Compte des résultats'!D15</f>
        <v>n+1 
(1re année du PDR)</v>
      </c>
      <c r="E46" s="92" t="str">
        <f>'Compte des résultats'!E15</f>
        <v>n+2</v>
      </c>
      <c r="F46" s="92" t="str">
        <f>'Compte des résultats'!F15</f>
        <v>n+3</v>
      </c>
      <c r="G46" s="92" t="str">
        <f>'Compte des résultats'!G15</f>
        <v>n+4</v>
      </c>
      <c r="H46" s="92" t="str">
        <f>'Compte des résultats'!H15</f>
        <v>n+5</v>
      </c>
      <c r="I46" s="92" t="str">
        <f>'Compte des résultats'!I15</f>
        <v>n+6</v>
      </c>
      <c r="J46" s="92" t="str">
        <f>'Compte des résultats'!J15</f>
        <v>1re année après la mise en oeuvre</v>
      </c>
      <c r="K46" s="93" t="s">
        <v>65</v>
      </c>
      <c r="L46" s="94" t="s">
        <v>66</v>
      </c>
      <c r="M46" s="95"/>
      <c r="N46" s="95"/>
    </row>
    <row r="47" spans="1:16" outlineLevel="1" x14ac:dyDescent="0.3">
      <c r="A47" s="97" t="s">
        <v>67</v>
      </c>
      <c r="B47" s="98"/>
      <c r="C47" s="99"/>
      <c r="D47" s="100"/>
      <c r="E47" s="100"/>
      <c r="F47" s="100"/>
      <c r="G47" s="100"/>
      <c r="H47" s="100"/>
      <c r="I47" s="100"/>
      <c r="J47" s="100"/>
      <c r="K47" s="174"/>
      <c r="L47" s="103"/>
    </row>
    <row r="48" spans="1:16" outlineLevel="1" x14ac:dyDescent="0.3">
      <c r="A48" s="104" t="s">
        <v>68</v>
      </c>
      <c r="B48" s="105" t="s">
        <v>69</v>
      </c>
      <c r="C48" s="106">
        <v>0</v>
      </c>
      <c r="D48" s="120"/>
      <c r="E48" s="120"/>
      <c r="F48" s="120"/>
      <c r="G48" s="120"/>
      <c r="H48" s="120"/>
      <c r="I48" s="120"/>
      <c r="J48" s="120"/>
      <c r="K48" s="109"/>
      <c r="L48" s="122"/>
      <c r="M48" s="116"/>
      <c r="N48" s="116"/>
    </row>
    <row r="49" spans="1:18" outlineLevel="1" x14ac:dyDescent="0.3">
      <c r="A49" s="110" t="s">
        <v>70</v>
      </c>
      <c r="B49" s="111" t="s">
        <v>71</v>
      </c>
      <c r="C49" s="112"/>
      <c r="D49" s="113"/>
      <c r="E49" s="113"/>
      <c r="F49" s="113"/>
      <c r="G49" s="113"/>
      <c r="H49" s="113"/>
      <c r="I49" s="113"/>
      <c r="J49" s="113"/>
      <c r="K49" s="114"/>
      <c r="L49" s="122"/>
      <c r="M49" s="116"/>
      <c r="N49" s="116"/>
    </row>
    <row r="50" spans="1:18" outlineLevel="1" x14ac:dyDescent="0.3">
      <c r="A50" s="104" t="s">
        <v>72</v>
      </c>
      <c r="B50" s="105" t="s">
        <v>73</v>
      </c>
      <c r="C50" s="106"/>
      <c r="D50" s="120"/>
      <c r="E50" s="120"/>
      <c r="F50" s="120"/>
      <c r="G50" s="120"/>
      <c r="H50" s="120"/>
      <c r="I50" s="120"/>
      <c r="J50" s="120"/>
      <c r="K50" s="178"/>
      <c r="L50" s="122"/>
      <c r="M50" s="116"/>
      <c r="N50" s="116"/>
    </row>
    <row r="51" spans="1:18" outlineLevel="1" x14ac:dyDescent="0.3">
      <c r="A51" s="104"/>
      <c r="B51" s="105"/>
      <c r="C51" s="106"/>
      <c r="D51" s="120"/>
      <c r="E51" s="120"/>
      <c r="F51" s="120"/>
      <c r="G51" s="120"/>
      <c r="H51" s="120"/>
      <c r="I51" s="120"/>
      <c r="J51" s="120"/>
      <c r="K51" s="121"/>
      <c r="L51" s="122"/>
      <c r="M51" s="116"/>
      <c r="N51" s="116"/>
    </row>
    <row r="52" spans="1:18" outlineLevel="1" x14ac:dyDescent="0.3">
      <c r="A52" s="104" t="s">
        <v>74</v>
      </c>
      <c r="B52" s="105" t="s">
        <v>75</v>
      </c>
      <c r="C52" s="179"/>
      <c r="D52" s="107"/>
      <c r="E52" s="107"/>
      <c r="F52" s="107"/>
      <c r="G52" s="107"/>
      <c r="H52" s="107"/>
      <c r="I52" s="107"/>
      <c r="J52" s="107"/>
      <c r="K52" s="182"/>
      <c r="L52" s="122"/>
      <c r="M52" s="116"/>
      <c r="N52" s="116"/>
    </row>
    <row r="53" spans="1:18" outlineLevel="1" x14ac:dyDescent="0.3">
      <c r="A53" s="104" t="s">
        <v>76</v>
      </c>
      <c r="B53" s="105" t="s">
        <v>77</v>
      </c>
      <c r="C53" s="150"/>
      <c r="D53" s="180"/>
      <c r="E53" s="151"/>
      <c r="F53" s="151"/>
      <c r="G53" s="151"/>
      <c r="H53" s="151"/>
      <c r="I53" s="151"/>
      <c r="J53" s="151"/>
      <c r="K53" s="102"/>
      <c r="L53" s="159"/>
      <c r="M53" s="173"/>
      <c r="N53" s="8"/>
      <c r="O53" s="8"/>
      <c r="P53" s="8"/>
    </row>
    <row r="54" spans="1:18" ht="3.65" customHeight="1" outlineLevel="1" x14ac:dyDescent="0.3">
      <c r="A54" s="104"/>
      <c r="B54" s="105"/>
      <c r="C54" s="124"/>
      <c r="D54" s="125"/>
      <c r="E54" s="125"/>
      <c r="F54" s="125"/>
      <c r="G54" s="125"/>
      <c r="H54" s="125"/>
      <c r="I54" s="125"/>
      <c r="J54" s="125"/>
      <c r="L54" s="159"/>
      <c r="M54" s="173"/>
      <c r="N54" s="8"/>
      <c r="O54" s="8"/>
      <c r="P54" s="8"/>
    </row>
    <row r="55" spans="1:18" s="96" customFormat="1" outlineLevel="1" x14ac:dyDescent="0.3">
      <c r="A55" s="153" t="s">
        <v>78</v>
      </c>
      <c r="B55" s="154"/>
      <c r="C55" s="155">
        <f>C48*C52</f>
        <v>0</v>
      </c>
      <c r="D55" s="156">
        <f t="shared" ref="D55:J55" si="13">D48*D52</f>
        <v>0</v>
      </c>
      <c r="E55" s="156">
        <f t="shared" si="13"/>
        <v>0</v>
      </c>
      <c r="F55" s="156">
        <f t="shared" si="13"/>
        <v>0</v>
      </c>
      <c r="G55" s="156">
        <f t="shared" si="13"/>
        <v>0</v>
      </c>
      <c r="H55" s="156">
        <f t="shared" si="13"/>
        <v>0</v>
      </c>
      <c r="I55" s="156"/>
      <c r="J55" s="156">
        <f t="shared" si="13"/>
        <v>0</v>
      </c>
      <c r="K55" s="184"/>
      <c r="L55" s="159" t="s">
        <v>79</v>
      </c>
      <c r="M55" s="186"/>
      <c r="N55" s="8"/>
      <c r="O55" s="172"/>
      <c r="P55" s="172"/>
    </row>
    <row r="56" spans="1:18" s="96" customFormat="1" outlineLevel="1" x14ac:dyDescent="0.3">
      <c r="A56" s="160" t="s">
        <v>80</v>
      </c>
      <c r="B56" s="161"/>
      <c r="C56" s="162">
        <f>C48*C50</f>
        <v>0</v>
      </c>
      <c r="D56" s="163">
        <f t="shared" ref="D56:J56" si="14">D48*D50</f>
        <v>0</v>
      </c>
      <c r="E56" s="163">
        <f t="shared" si="14"/>
        <v>0</v>
      </c>
      <c r="F56" s="163">
        <f t="shared" si="14"/>
        <v>0</v>
      </c>
      <c r="G56" s="163">
        <f t="shared" si="14"/>
        <v>0</v>
      </c>
      <c r="H56" s="163">
        <f t="shared" si="14"/>
        <v>0</v>
      </c>
      <c r="I56" s="163"/>
      <c r="J56" s="163">
        <f t="shared" si="14"/>
        <v>0</v>
      </c>
      <c r="K56" s="184"/>
      <c r="L56" s="159" t="s">
        <v>81</v>
      </c>
      <c r="M56" s="190"/>
      <c r="N56" s="8"/>
      <c r="O56" s="172"/>
      <c r="P56" s="172"/>
    </row>
    <row r="57" spans="1:18" s="96" customFormat="1" ht="14.5" outlineLevel="1" thickBot="1" x14ac:dyDescent="0.35">
      <c r="A57" s="165" t="s">
        <v>82</v>
      </c>
      <c r="B57" s="166" t="s">
        <v>83</v>
      </c>
      <c r="C57" s="167">
        <f>C55-C56</f>
        <v>0</v>
      </c>
      <c r="D57" s="168">
        <f>D55-D56</f>
        <v>0</v>
      </c>
      <c r="E57" s="168">
        <f t="shared" ref="E57:J57" si="15">E55-E56</f>
        <v>0</v>
      </c>
      <c r="F57" s="168">
        <f t="shared" si="15"/>
        <v>0</v>
      </c>
      <c r="G57" s="168">
        <f t="shared" si="15"/>
        <v>0</v>
      </c>
      <c r="H57" s="168">
        <f t="shared" si="15"/>
        <v>0</v>
      </c>
      <c r="I57" s="168"/>
      <c r="J57" s="168">
        <f t="shared" si="15"/>
        <v>0</v>
      </c>
      <c r="K57" s="188"/>
      <c r="L57" s="159"/>
      <c r="M57" s="190"/>
      <c r="N57" s="8"/>
      <c r="O57" s="172"/>
      <c r="P57" s="172"/>
    </row>
    <row r="58" spans="1:18" ht="14.5" outlineLevel="1" thickTop="1" x14ac:dyDescent="0.3">
      <c r="A58" s="171"/>
      <c r="B58" s="172"/>
      <c r="C58" s="173"/>
      <c r="D58" s="173"/>
      <c r="E58" s="173"/>
      <c r="F58" s="173"/>
      <c r="G58" s="173"/>
      <c r="H58" s="173"/>
      <c r="I58" s="173"/>
      <c r="J58" s="173"/>
      <c r="K58" s="173"/>
      <c r="L58" s="173"/>
      <c r="R58" s="96"/>
    </row>
    <row r="59" spans="1:18" x14ac:dyDescent="0.3">
      <c r="R59" s="96"/>
    </row>
    <row r="60" spans="1:18" s="86" customFormat="1" ht="26.15" customHeight="1" x14ac:dyDescent="0.3">
      <c r="A60" s="80" t="s">
        <v>84</v>
      </c>
      <c r="B60" s="81"/>
      <c r="C60" s="81"/>
      <c r="D60" s="81"/>
      <c r="E60" s="81"/>
      <c r="F60" s="81"/>
      <c r="G60" s="81"/>
      <c r="H60" s="81"/>
      <c r="I60" s="81"/>
      <c r="J60" s="81"/>
      <c r="K60" s="81"/>
      <c r="L60" s="82"/>
      <c r="M60" s="83"/>
      <c r="N60" s="84"/>
      <c r="O60" s="85"/>
      <c r="P60" s="85"/>
    </row>
    <row r="61" spans="1:18" s="96" customFormat="1" ht="26" outlineLevel="1" x14ac:dyDescent="0.3">
      <c r="A61" s="191"/>
      <c r="B61" s="91" t="s">
        <v>85</v>
      </c>
      <c r="C61" s="92" t="s">
        <v>86</v>
      </c>
      <c r="D61" s="192" t="s">
        <v>87</v>
      </c>
      <c r="E61" s="192" t="s">
        <v>88</v>
      </c>
      <c r="F61" s="192" t="s">
        <v>89</v>
      </c>
      <c r="G61" s="192" t="s">
        <v>90</v>
      </c>
      <c r="H61" s="192" t="s">
        <v>91</v>
      </c>
      <c r="I61" s="193"/>
      <c r="J61" s="194" t="s">
        <v>92</v>
      </c>
      <c r="K61" s="93" t="s">
        <v>93</v>
      </c>
      <c r="L61" s="195" t="s">
        <v>94</v>
      </c>
      <c r="M61" s="196" t="s">
        <v>95</v>
      </c>
      <c r="N61" s="94" t="s">
        <v>96</v>
      </c>
      <c r="O61" s="95"/>
      <c r="P61" s="95"/>
    </row>
    <row r="62" spans="1:18" s="9" customFormat="1" ht="14.25" customHeight="1" outlineLevel="1" x14ac:dyDescent="0.3">
      <c r="A62" s="197" t="s">
        <v>97</v>
      </c>
      <c r="B62" s="198"/>
      <c r="C62" s="199"/>
      <c r="D62" s="199"/>
      <c r="E62" s="199"/>
      <c r="F62" s="199"/>
      <c r="G62" s="199"/>
      <c r="H62" s="199"/>
      <c r="I62" s="199"/>
      <c r="J62" s="200"/>
      <c r="K62" s="201" t="s">
        <v>98</v>
      </c>
      <c r="L62" s="202"/>
      <c r="M62" s="202"/>
      <c r="N62" s="203"/>
      <c r="O62" s="201"/>
      <c r="P62" s="201"/>
    </row>
    <row r="63" spans="1:18" s="9" customFormat="1" ht="4.5" customHeight="1" outlineLevel="1" x14ac:dyDescent="0.3">
      <c r="B63" s="204"/>
      <c r="C63" s="205"/>
      <c r="D63" s="205"/>
      <c r="E63" s="205"/>
      <c r="F63" s="205"/>
      <c r="G63" s="205"/>
      <c r="H63" s="205"/>
      <c r="I63" s="205"/>
      <c r="J63" s="206"/>
      <c r="L63" s="207"/>
      <c r="M63" s="207"/>
    </row>
    <row r="64" spans="1:18" s="96" customFormat="1" ht="13" outlineLevel="1" x14ac:dyDescent="0.3">
      <c r="A64" s="96" t="s">
        <v>99</v>
      </c>
      <c r="B64" s="208">
        <v>0.15</v>
      </c>
      <c r="J64" s="209"/>
      <c r="L64" s="210" t="s">
        <v>100</v>
      </c>
      <c r="M64" s="210" t="s">
        <v>101</v>
      </c>
    </row>
    <row r="65" spans="1:16" s="96" customFormat="1" ht="13" outlineLevel="1" x14ac:dyDescent="0.3">
      <c r="A65" s="211" t="s">
        <v>102</v>
      </c>
      <c r="B65" s="161"/>
      <c r="J65" s="209"/>
      <c r="L65" s="210"/>
      <c r="M65" s="210"/>
    </row>
    <row r="66" spans="1:16" s="96" customFormat="1" ht="13" outlineLevel="1" x14ac:dyDescent="0.3">
      <c r="A66" s="212" t="s">
        <v>103</v>
      </c>
      <c r="B66" s="161" t="s">
        <v>104</v>
      </c>
      <c r="C66" s="213">
        <v>3000</v>
      </c>
      <c r="D66" s="213">
        <v>3500</v>
      </c>
      <c r="E66" s="213">
        <v>3500</v>
      </c>
      <c r="F66" s="213">
        <v>3500</v>
      </c>
      <c r="G66" s="213">
        <v>3500</v>
      </c>
      <c r="H66" s="213">
        <v>3500</v>
      </c>
      <c r="I66" s="213"/>
      <c r="J66" s="214">
        <v>3500</v>
      </c>
      <c r="L66" s="210"/>
      <c r="M66" s="210"/>
    </row>
    <row r="67" spans="1:16" s="96" customFormat="1" ht="13" outlineLevel="1" x14ac:dyDescent="0.3">
      <c r="A67" s="212" t="s">
        <v>105</v>
      </c>
      <c r="B67" s="161" t="s">
        <v>106</v>
      </c>
      <c r="C67" s="213"/>
      <c r="D67" s="213"/>
      <c r="E67" s="213"/>
      <c r="F67" s="213"/>
      <c r="G67" s="213"/>
      <c r="H67" s="213"/>
      <c r="I67" s="213"/>
      <c r="J67" s="214"/>
      <c r="K67" s="172"/>
      <c r="L67" s="210"/>
      <c r="M67" s="210"/>
    </row>
    <row r="68" spans="1:16" s="96" customFormat="1" ht="3" customHeight="1" outlineLevel="1" x14ac:dyDescent="0.3">
      <c r="B68" s="161"/>
      <c r="J68" s="209"/>
      <c r="K68" s="172"/>
      <c r="L68" s="210"/>
      <c r="M68" s="210"/>
    </row>
    <row r="69" spans="1:16" s="96" customFormat="1" ht="13" outlineLevel="1" x14ac:dyDescent="0.3">
      <c r="A69" s="211" t="s">
        <v>107</v>
      </c>
      <c r="B69" s="161"/>
      <c r="J69" s="209"/>
      <c r="L69" s="210"/>
      <c r="M69" s="210"/>
    </row>
    <row r="70" spans="1:16" s="96" customFormat="1" ht="13" outlineLevel="1" x14ac:dyDescent="0.3">
      <c r="A70" s="212" t="s">
        <v>108</v>
      </c>
      <c r="B70" s="161" t="s">
        <v>109</v>
      </c>
      <c r="C70" s="215">
        <v>0.15</v>
      </c>
      <c r="D70" s="215">
        <v>0.3</v>
      </c>
      <c r="E70" s="215">
        <v>0.3</v>
      </c>
      <c r="F70" s="215">
        <v>0.3</v>
      </c>
      <c r="G70" s="215">
        <v>0.3</v>
      </c>
      <c r="H70" s="215">
        <v>0.4</v>
      </c>
      <c r="I70" s="215"/>
      <c r="J70" s="216">
        <v>0.4</v>
      </c>
      <c r="L70" s="210"/>
      <c r="M70" s="210"/>
    </row>
    <row r="71" spans="1:16" s="96" customFormat="1" ht="13" outlineLevel="1" x14ac:dyDescent="0.3">
      <c r="A71" s="212" t="s">
        <v>110</v>
      </c>
      <c r="B71" s="161" t="s">
        <v>111</v>
      </c>
      <c r="C71" s="215"/>
      <c r="D71" s="215"/>
      <c r="E71" s="215"/>
      <c r="F71" s="215"/>
      <c r="G71" s="215"/>
      <c r="H71" s="215"/>
      <c r="I71" s="215"/>
      <c r="J71" s="216"/>
      <c r="L71" s="210"/>
      <c r="M71" s="210"/>
    </row>
    <row r="72" spans="1:16" s="9" customFormat="1" ht="4.5" customHeight="1" outlineLevel="1" x14ac:dyDescent="0.3">
      <c r="B72" s="204"/>
      <c r="C72" s="205"/>
      <c r="D72" s="205"/>
      <c r="E72" s="205"/>
      <c r="F72" s="205"/>
      <c r="G72" s="205"/>
      <c r="H72" s="205"/>
      <c r="I72" s="205"/>
      <c r="J72" s="206"/>
      <c r="L72" s="207"/>
      <c r="M72" s="207"/>
    </row>
    <row r="73" spans="1:16" s="9" customFormat="1" ht="14.15" customHeight="1" outlineLevel="1" x14ac:dyDescent="0.3">
      <c r="A73" s="217" t="s">
        <v>112</v>
      </c>
      <c r="B73" s="218" t="s">
        <v>113</v>
      </c>
      <c r="C73" s="201">
        <f t="shared" ref="C73:J73" si="16">IFERROR(C75*12*C76,"N/A")</f>
        <v>0</v>
      </c>
      <c r="D73" s="201">
        <f t="shared" si="16"/>
        <v>600</v>
      </c>
      <c r="E73" s="201">
        <f t="shared" si="16"/>
        <v>600</v>
      </c>
      <c r="F73" s="201">
        <f t="shared" si="16"/>
        <v>600</v>
      </c>
      <c r="G73" s="201">
        <f t="shared" si="16"/>
        <v>600</v>
      </c>
      <c r="H73" s="201">
        <f t="shared" si="16"/>
        <v>600</v>
      </c>
      <c r="I73" s="201"/>
      <c r="J73" s="219">
        <f t="shared" si="16"/>
        <v>600</v>
      </c>
      <c r="K73" s="201" t="s">
        <v>114</v>
      </c>
      <c r="L73" s="220"/>
      <c r="M73" s="220"/>
      <c r="N73" s="203"/>
      <c r="O73" s="201"/>
      <c r="P73" s="201"/>
    </row>
    <row r="74" spans="1:16" s="9" customFormat="1" ht="4.5" customHeight="1" outlineLevel="1" x14ac:dyDescent="0.3">
      <c r="B74" s="204"/>
      <c r="C74" s="205"/>
      <c r="D74" s="205"/>
      <c r="E74" s="205"/>
      <c r="F74" s="205"/>
      <c r="G74" s="205"/>
      <c r="H74" s="205"/>
      <c r="I74" s="205"/>
      <c r="J74" s="206"/>
      <c r="L74" s="207"/>
      <c r="M74" s="207"/>
    </row>
    <row r="75" spans="1:16" s="96" customFormat="1" ht="13" outlineLevel="1" x14ac:dyDescent="0.3">
      <c r="A75" s="221" t="s">
        <v>115</v>
      </c>
      <c r="B75" s="161" t="s">
        <v>116</v>
      </c>
      <c r="C75" s="213"/>
      <c r="D75" s="213">
        <v>10000</v>
      </c>
      <c r="E75" s="213">
        <v>10000</v>
      </c>
      <c r="F75" s="213">
        <v>10000</v>
      </c>
      <c r="G75" s="213">
        <v>10000</v>
      </c>
      <c r="H75" s="213">
        <v>10000</v>
      </c>
      <c r="I75" s="213"/>
      <c r="J75" s="214">
        <v>10000</v>
      </c>
      <c r="L75" s="210"/>
      <c r="M75" s="210"/>
    </row>
    <row r="76" spans="1:16" s="96" customFormat="1" ht="13" outlineLevel="1" x14ac:dyDescent="0.3">
      <c r="A76" s="212" t="s">
        <v>117</v>
      </c>
      <c r="B76" s="161" t="s">
        <v>118</v>
      </c>
      <c r="C76" s="222"/>
      <c r="D76" s="222">
        <v>5.0000000000000001E-3</v>
      </c>
      <c r="E76" s="222">
        <v>5.0000000000000001E-3</v>
      </c>
      <c r="F76" s="222">
        <v>5.0000000000000001E-3</v>
      </c>
      <c r="G76" s="222">
        <v>5.0000000000000001E-3</v>
      </c>
      <c r="H76" s="222">
        <v>5.0000000000000001E-3</v>
      </c>
      <c r="I76" s="222"/>
      <c r="J76" s="223">
        <v>5.0000000000000001E-3</v>
      </c>
      <c r="K76" s="96" t="s">
        <v>119</v>
      </c>
      <c r="L76" s="210"/>
      <c r="M76" s="210"/>
    </row>
    <row r="77" spans="1:16" s="9" customFormat="1" ht="4.5" customHeight="1" outlineLevel="1" x14ac:dyDescent="0.3">
      <c r="B77" s="204"/>
      <c r="C77" s="205"/>
      <c r="D77" s="205"/>
      <c r="E77" s="205"/>
      <c r="F77" s="205"/>
      <c r="G77" s="205"/>
      <c r="H77" s="205"/>
      <c r="I77" s="205"/>
      <c r="J77" s="206"/>
      <c r="L77" s="207"/>
      <c r="M77" s="207"/>
    </row>
    <row r="78" spans="1:16" s="9" customFormat="1" ht="14.25" customHeight="1" outlineLevel="1" x14ac:dyDescent="0.3">
      <c r="A78" s="217" t="s">
        <v>120</v>
      </c>
      <c r="B78" s="218"/>
      <c r="C78" s="201">
        <f>SUM(C79:C81)</f>
        <v>0</v>
      </c>
      <c r="D78" s="201">
        <f t="shared" ref="D78:J78" si="17">SUM(D79:D81)</f>
        <v>0</v>
      </c>
      <c r="E78" s="201">
        <f t="shared" si="17"/>
        <v>0</v>
      </c>
      <c r="F78" s="201">
        <f t="shared" si="17"/>
        <v>0</v>
      </c>
      <c r="G78" s="201">
        <f t="shared" si="17"/>
        <v>0</v>
      </c>
      <c r="H78" s="201">
        <f t="shared" si="17"/>
        <v>0</v>
      </c>
      <c r="I78" s="201"/>
      <c r="J78" s="201">
        <f t="shared" si="17"/>
        <v>0</v>
      </c>
      <c r="K78" s="201" t="s">
        <v>121</v>
      </c>
      <c r="L78" s="220"/>
      <c r="M78" s="220" t="s">
        <v>122</v>
      </c>
      <c r="N78" s="203"/>
      <c r="O78" s="201"/>
      <c r="P78" s="201"/>
    </row>
    <row r="79" spans="1:16" s="9" customFormat="1" ht="4.5" customHeight="1" outlineLevel="1" x14ac:dyDescent="0.3">
      <c r="B79" s="204"/>
      <c r="C79" s="205"/>
      <c r="D79" s="205"/>
      <c r="E79" s="205"/>
      <c r="F79" s="205"/>
      <c r="G79" s="205"/>
      <c r="H79" s="205"/>
      <c r="I79" s="205"/>
      <c r="J79" s="206"/>
      <c r="L79" s="207"/>
      <c r="M79" s="207"/>
    </row>
    <row r="80" spans="1:16" outlineLevel="1" x14ac:dyDescent="0.3">
      <c r="A80" s="221" t="s">
        <v>123</v>
      </c>
      <c r="B80" s="224" t="s">
        <v>124</v>
      </c>
      <c r="C80" s="225" t="str">
        <f>IFERROR(#REF!,"N/A")</f>
        <v>N/A</v>
      </c>
      <c r="D80" s="225" t="str">
        <f>IFERROR(#REF!,"N/A")</f>
        <v>N/A</v>
      </c>
      <c r="E80" s="225" t="str">
        <f>IFERROR(#REF!,"N/A")</f>
        <v>N/A</v>
      </c>
      <c r="F80" s="225" t="str">
        <f>IFERROR(#REF!,"N/A")</f>
        <v>N/A</v>
      </c>
      <c r="G80" s="225" t="str">
        <f>IFERROR(#REF!,"N/A")</f>
        <v>N/A</v>
      </c>
      <c r="H80" s="225" t="str">
        <f>IFERROR(#REF!,"N/A")</f>
        <v>N/A</v>
      </c>
      <c r="I80" s="225"/>
      <c r="J80" s="226" t="str">
        <f>IFERROR(#REF!,"N/A")</f>
        <v>N/A</v>
      </c>
      <c r="K80" s="227" t="s">
        <v>125</v>
      </c>
      <c r="L80" s="228"/>
      <c r="M80" s="228"/>
    </row>
    <row r="81" spans="1:16" outlineLevel="1" x14ac:dyDescent="0.3">
      <c r="A81" s="221" t="s">
        <v>126</v>
      </c>
      <c r="B81" s="224" t="s">
        <v>127</v>
      </c>
      <c r="C81" s="213"/>
      <c r="D81" s="213"/>
      <c r="E81" s="213"/>
      <c r="F81" s="213"/>
      <c r="G81" s="213"/>
      <c r="H81" s="213"/>
      <c r="I81" s="213"/>
      <c r="J81" s="214"/>
      <c r="K81" s="227"/>
      <c r="L81" s="228"/>
      <c r="M81" s="228"/>
    </row>
    <row r="82" spans="1:16" s="9" customFormat="1" ht="4.5" customHeight="1" outlineLevel="1" x14ac:dyDescent="0.3">
      <c r="B82" s="204"/>
      <c r="C82" s="205"/>
      <c r="D82" s="205"/>
      <c r="E82" s="205"/>
      <c r="F82" s="205"/>
      <c r="G82" s="205"/>
      <c r="H82" s="205"/>
      <c r="I82" s="205"/>
      <c r="J82" s="206"/>
      <c r="L82" s="207"/>
      <c r="M82" s="207"/>
    </row>
    <row r="83" spans="1:16" s="9" customFormat="1" ht="14.25" customHeight="1" outlineLevel="1" x14ac:dyDescent="0.3">
      <c r="A83" s="217" t="s">
        <v>128</v>
      </c>
      <c r="B83" s="218" t="s">
        <v>129</v>
      </c>
      <c r="C83" s="201">
        <f t="shared" ref="C83:J83" si="18">IFERROR(C85*C86,"N/A")</f>
        <v>0</v>
      </c>
      <c r="D83" s="201">
        <f t="shared" si="18"/>
        <v>1000</v>
      </c>
      <c r="E83" s="201">
        <f t="shared" si="18"/>
        <v>1000</v>
      </c>
      <c r="F83" s="201">
        <f t="shared" si="18"/>
        <v>1000</v>
      </c>
      <c r="G83" s="201">
        <f t="shared" si="18"/>
        <v>1000</v>
      </c>
      <c r="H83" s="201">
        <f t="shared" si="18"/>
        <v>1000</v>
      </c>
      <c r="I83" s="201"/>
      <c r="J83" s="219">
        <f t="shared" si="18"/>
        <v>1000</v>
      </c>
      <c r="K83" s="201" t="s">
        <v>130</v>
      </c>
      <c r="L83" s="220"/>
      <c r="M83" s="220"/>
      <c r="N83" s="203"/>
      <c r="O83" s="201"/>
      <c r="P83" s="201"/>
    </row>
    <row r="84" spans="1:16" s="9" customFormat="1" ht="4.5" customHeight="1" outlineLevel="1" x14ac:dyDescent="0.3">
      <c r="B84" s="204"/>
      <c r="C84" s="205"/>
      <c r="D84" s="205"/>
      <c r="E84" s="205"/>
      <c r="F84" s="205"/>
      <c r="G84" s="205"/>
      <c r="H84" s="205"/>
      <c r="I84" s="205"/>
      <c r="J84" s="206"/>
      <c r="L84" s="207"/>
      <c r="M84" s="207"/>
    </row>
    <row r="85" spans="1:16" s="96" customFormat="1" ht="13" outlineLevel="1" x14ac:dyDescent="0.3">
      <c r="A85" s="221" t="s">
        <v>131</v>
      </c>
      <c r="B85" s="161" t="s">
        <v>132</v>
      </c>
      <c r="C85" s="213"/>
      <c r="D85" s="213">
        <v>10000</v>
      </c>
      <c r="E85" s="213">
        <v>10000</v>
      </c>
      <c r="F85" s="213">
        <v>10000</v>
      </c>
      <c r="G85" s="213">
        <v>10000</v>
      </c>
      <c r="H85" s="213">
        <v>10000</v>
      </c>
      <c r="I85" s="213"/>
      <c r="J85" s="214">
        <v>10000</v>
      </c>
      <c r="L85" s="210"/>
      <c r="M85" s="210"/>
    </row>
    <row r="86" spans="1:16" s="96" customFormat="1" ht="13" outlineLevel="1" x14ac:dyDescent="0.3">
      <c r="A86" s="212" t="s">
        <v>133</v>
      </c>
      <c r="B86" s="161" t="s">
        <v>134</v>
      </c>
      <c r="C86" s="215"/>
      <c r="D86" s="215">
        <v>0.1</v>
      </c>
      <c r="E86" s="215">
        <v>0.1</v>
      </c>
      <c r="F86" s="215">
        <v>0.1</v>
      </c>
      <c r="G86" s="215">
        <v>0.1</v>
      </c>
      <c r="H86" s="215">
        <v>0.1</v>
      </c>
      <c r="I86" s="215"/>
      <c r="J86" s="216">
        <v>0.1</v>
      </c>
      <c r="K86" s="96" t="s">
        <v>135</v>
      </c>
      <c r="L86" s="210"/>
      <c r="M86" s="210"/>
    </row>
    <row r="87" spans="1:16" s="9" customFormat="1" ht="4.5" customHeight="1" outlineLevel="1" x14ac:dyDescent="0.3">
      <c r="B87" s="204"/>
      <c r="C87" s="205"/>
      <c r="D87" s="205"/>
      <c r="E87" s="205"/>
      <c r="F87" s="205"/>
      <c r="G87" s="205"/>
      <c r="H87" s="205"/>
      <c r="I87" s="205"/>
      <c r="J87" s="206"/>
      <c r="L87" s="207"/>
      <c r="M87" s="207"/>
    </row>
    <row r="88" spans="1:16" s="9" customFormat="1" ht="14.25" customHeight="1" outlineLevel="1" x14ac:dyDescent="0.3">
      <c r="A88" s="217" t="s">
        <v>136</v>
      </c>
      <c r="B88" s="218" t="s">
        <v>137</v>
      </c>
      <c r="C88" s="201">
        <f t="shared" ref="C88:J88" si="19">IFERROR(C90*C91,"N/A")</f>
        <v>0</v>
      </c>
      <c r="D88" s="201">
        <f t="shared" si="19"/>
        <v>1000</v>
      </c>
      <c r="E88" s="201">
        <f t="shared" si="19"/>
        <v>1000</v>
      </c>
      <c r="F88" s="201">
        <f t="shared" si="19"/>
        <v>1000</v>
      </c>
      <c r="G88" s="201">
        <f t="shared" si="19"/>
        <v>1000</v>
      </c>
      <c r="H88" s="201">
        <f t="shared" si="19"/>
        <v>1000</v>
      </c>
      <c r="I88" s="201"/>
      <c r="J88" s="219">
        <f t="shared" si="19"/>
        <v>1000</v>
      </c>
      <c r="K88" s="201" t="s">
        <v>138</v>
      </c>
      <c r="L88" s="220"/>
      <c r="M88" s="220"/>
      <c r="N88" s="203"/>
      <c r="O88" s="201"/>
      <c r="P88" s="201"/>
    </row>
    <row r="89" spans="1:16" s="9" customFormat="1" ht="4.5" customHeight="1" outlineLevel="1" x14ac:dyDescent="0.3">
      <c r="B89" s="204"/>
      <c r="C89" s="205"/>
      <c r="D89" s="205"/>
      <c r="E89" s="205"/>
      <c r="F89" s="205"/>
      <c r="G89" s="205"/>
      <c r="H89" s="205"/>
      <c r="I89" s="205"/>
      <c r="J89" s="206"/>
      <c r="L89" s="207"/>
      <c r="M89" s="207"/>
    </row>
    <row r="90" spans="1:16" s="96" customFormat="1" ht="13" outlineLevel="1" x14ac:dyDescent="0.3">
      <c r="A90" s="221" t="s">
        <v>139</v>
      </c>
      <c r="B90" s="161" t="s">
        <v>140</v>
      </c>
      <c r="C90" s="213"/>
      <c r="D90" s="213">
        <v>10000</v>
      </c>
      <c r="E90" s="213">
        <v>10000</v>
      </c>
      <c r="F90" s="213">
        <v>10000</v>
      </c>
      <c r="G90" s="213">
        <v>10000</v>
      </c>
      <c r="H90" s="213">
        <v>10000</v>
      </c>
      <c r="I90" s="213"/>
      <c r="J90" s="214">
        <v>10000</v>
      </c>
      <c r="L90" s="210"/>
      <c r="M90" s="210"/>
    </row>
    <row r="91" spans="1:16" s="96" customFormat="1" ht="13" outlineLevel="1" x14ac:dyDescent="0.3">
      <c r="A91" s="212" t="s">
        <v>141</v>
      </c>
      <c r="B91" s="161" t="s">
        <v>142</v>
      </c>
      <c r="C91" s="215"/>
      <c r="D91" s="215">
        <v>0.1</v>
      </c>
      <c r="E91" s="215">
        <v>0.1</v>
      </c>
      <c r="F91" s="215">
        <v>0.1</v>
      </c>
      <c r="G91" s="215">
        <v>0.1</v>
      </c>
      <c r="H91" s="215">
        <v>0.1</v>
      </c>
      <c r="I91" s="215"/>
      <c r="J91" s="216">
        <v>0.1</v>
      </c>
      <c r="K91" s="96" t="s">
        <v>143</v>
      </c>
      <c r="L91" s="210"/>
      <c r="M91" s="210"/>
    </row>
    <row r="92" spans="1:16" s="9" customFormat="1" ht="4.5" customHeight="1" outlineLevel="1" x14ac:dyDescent="0.3">
      <c r="B92" s="204"/>
      <c r="C92" s="205"/>
      <c r="D92" s="205"/>
      <c r="E92" s="205"/>
      <c r="F92" s="205"/>
      <c r="G92" s="205"/>
      <c r="H92" s="205"/>
      <c r="I92" s="205"/>
      <c r="J92" s="206"/>
      <c r="L92" s="207"/>
      <c r="M92" s="207"/>
    </row>
    <row r="93" spans="1:16" s="9" customFormat="1" ht="14.25" customHeight="1" outlineLevel="1" x14ac:dyDescent="0.3">
      <c r="A93" s="217" t="s">
        <v>144</v>
      </c>
      <c r="B93" s="218"/>
      <c r="C93" s="229">
        <f>SUM(C95:C96)</f>
        <v>0</v>
      </c>
      <c r="D93" s="229">
        <f t="shared" ref="D93:J93" si="20">SUM(D95:D96)</f>
        <v>0</v>
      </c>
      <c r="E93" s="229">
        <f t="shared" si="20"/>
        <v>0</v>
      </c>
      <c r="F93" s="229">
        <f t="shared" si="20"/>
        <v>0</v>
      </c>
      <c r="G93" s="229">
        <f t="shared" si="20"/>
        <v>0</v>
      </c>
      <c r="H93" s="229">
        <f t="shared" si="20"/>
        <v>0</v>
      </c>
      <c r="I93" s="229"/>
      <c r="J93" s="229">
        <f t="shared" si="20"/>
        <v>0</v>
      </c>
      <c r="K93" s="201" t="s">
        <v>145</v>
      </c>
      <c r="L93" s="220"/>
      <c r="M93" s="220" t="s">
        <v>146</v>
      </c>
      <c r="N93" s="203"/>
      <c r="O93" s="201"/>
      <c r="P93" s="201"/>
    </row>
    <row r="94" spans="1:16" s="9" customFormat="1" ht="4.5" customHeight="1" outlineLevel="1" x14ac:dyDescent="0.3">
      <c r="B94" s="204"/>
      <c r="C94" s="205"/>
      <c r="D94" s="205"/>
      <c r="E94" s="205"/>
      <c r="F94" s="205"/>
      <c r="G94" s="205"/>
      <c r="H94" s="205"/>
      <c r="I94" s="205"/>
      <c r="J94" s="206"/>
      <c r="L94" s="207"/>
      <c r="M94" s="207"/>
    </row>
    <row r="95" spans="1:16" outlineLevel="1" x14ac:dyDescent="0.3">
      <c r="A95" s="211"/>
      <c r="B95" s="224" t="s">
        <v>147</v>
      </c>
      <c r="C95" s="230"/>
      <c r="D95" s="230"/>
      <c r="E95" s="230"/>
      <c r="F95" s="230"/>
      <c r="G95" s="230"/>
      <c r="H95" s="230"/>
      <c r="I95" s="230"/>
      <c r="J95" s="231"/>
      <c r="K95" s="227"/>
      <c r="L95" s="228"/>
      <c r="M95" s="228"/>
    </row>
    <row r="96" spans="1:16" outlineLevel="1" x14ac:dyDescent="0.3">
      <c r="A96" s="211"/>
      <c r="B96" s="224" t="s">
        <v>148</v>
      </c>
      <c r="C96" s="230"/>
      <c r="D96" s="230"/>
      <c r="E96" s="230"/>
      <c r="F96" s="230"/>
      <c r="G96" s="230"/>
      <c r="H96" s="230"/>
      <c r="I96" s="230"/>
      <c r="J96" s="231"/>
      <c r="K96" s="227"/>
      <c r="L96" s="228"/>
      <c r="M96" s="228"/>
    </row>
    <row r="97" spans="1:16" s="9" customFormat="1" ht="4.5" customHeight="1" outlineLevel="1" x14ac:dyDescent="0.3">
      <c r="B97" s="204"/>
      <c r="C97" s="205"/>
      <c r="D97" s="205"/>
      <c r="E97" s="205"/>
      <c r="F97" s="205"/>
      <c r="G97" s="205"/>
      <c r="H97" s="205"/>
      <c r="I97" s="205"/>
      <c r="J97" s="206"/>
      <c r="L97" s="207"/>
      <c r="M97" s="207"/>
    </row>
    <row r="98" spans="1:16" s="9" customFormat="1" ht="14.25" customHeight="1" outlineLevel="1" x14ac:dyDescent="0.3">
      <c r="A98" s="217" t="s">
        <v>149</v>
      </c>
      <c r="B98" s="218" t="s">
        <v>150</v>
      </c>
      <c r="C98" s="201">
        <f>IFERROR(C100*C99,"N/A")</f>
        <v>0</v>
      </c>
      <c r="D98" s="201">
        <f>IFERROR(D100*D99,"N/A")</f>
        <v>600</v>
      </c>
      <c r="E98" s="201">
        <f t="shared" ref="E98:J98" si="21">IFERROR(E100*E99,"N/A")</f>
        <v>600</v>
      </c>
      <c r="F98" s="201">
        <f t="shared" si="21"/>
        <v>600</v>
      </c>
      <c r="G98" s="201">
        <f t="shared" si="21"/>
        <v>600</v>
      </c>
      <c r="H98" s="201">
        <f t="shared" si="21"/>
        <v>600</v>
      </c>
      <c r="I98" s="201"/>
      <c r="J98" s="219">
        <f t="shared" si="21"/>
        <v>600</v>
      </c>
      <c r="K98" s="201" t="s">
        <v>151</v>
      </c>
      <c r="L98" s="220"/>
      <c r="M98" s="220"/>
      <c r="N98" s="203"/>
      <c r="O98" s="201"/>
      <c r="P98" s="201"/>
    </row>
    <row r="99" spans="1:16" s="96" customFormat="1" ht="13" outlineLevel="1" x14ac:dyDescent="0.3">
      <c r="A99" s="221" t="s">
        <v>152</v>
      </c>
      <c r="B99" s="161" t="s">
        <v>153</v>
      </c>
      <c r="C99" s="213"/>
      <c r="D99" s="213">
        <f t="shared" ref="D99:J99" si="22">12*500</f>
        <v>6000</v>
      </c>
      <c r="E99" s="213">
        <f t="shared" si="22"/>
        <v>6000</v>
      </c>
      <c r="F99" s="213">
        <f t="shared" si="22"/>
        <v>6000</v>
      </c>
      <c r="G99" s="213">
        <f t="shared" si="22"/>
        <v>6000</v>
      </c>
      <c r="H99" s="213">
        <f t="shared" si="22"/>
        <v>6000</v>
      </c>
      <c r="I99" s="213"/>
      <c r="J99" s="214">
        <f t="shared" si="22"/>
        <v>6000</v>
      </c>
      <c r="L99" s="210"/>
      <c r="M99" s="210"/>
    </row>
    <row r="100" spans="1:16" s="96" customFormat="1" ht="13" outlineLevel="1" x14ac:dyDescent="0.3">
      <c r="A100" s="212" t="s">
        <v>154</v>
      </c>
      <c r="B100" s="161" t="s">
        <v>155</v>
      </c>
      <c r="C100" s="215"/>
      <c r="D100" s="215">
        <v>0.1</v>
      </c>
      <c r="E100" s="215">
        <v>0.1</v>
      </c>
      <c r="F100" s="215">
        <v>0.1</v>
      </c>
      <c r="G100" s="215">
        <v>0.1</v>
      </c>
      <c r="H100" s="215">
        <v>0.1</v>
      </c>
      <c r="I100" s="215"/>
      <c r="J100" s="216">
        <v>0.1</v>
      </c>
      <c r="K100" s="96" t="s">
        <v>156</v>
      </c>
      <c r="L100" s="210"/>
      <c r="M100" s="210"/>
    </row>
    <row r="101" spans="1:16" s="9" customFormat="1" ht="4.5" customHeight="1" outlineLevel="1" x14ac:dyDescent="0.3">
      <c r="B101" s="204"/>
      <c r="C101" s="205"/>
      <c r="D101" s="205"/>
      <c r="E101" s="205"/>
      <c r="F101" s="205"/>
      <c r="G101" s="205"/>
      <c r="H101" s="205"/>
      <c r="I101" s="205"/>
      <c r="J101" s="206"/>
      <c r="L101" s="207"/>
      <c r="M101" s="207"/>
    </row>
    <row r="102" spans="1:16" s="9" customFormat="1" ht="14.25" customHeight="1" outlineLevel="1" x14ac:dyDescent="0.3">
      <c r="A102" s="217" t="s">
        <v>157</v>
      </c>
      <c r="B102" s="218" t="s">
        <v>158</v>
      </c>
      <c r="C102" s="229">
        <f>C104+C108+C111+C113</f>
        <v>0</v>
      </c>
      <c r="D102" s="229">
        <f>D104+D108+D111+D113</f>
        <v>2550</v>
      </c>
      <c r="E102" s="229">
        <f t="shared" ref="E102:J102" si="23">E104+E108+E111+E113</f>
        <v>2550</v>
      </c>
      <c r="F102" s="229">
        <f t="shared" si="23"/>
        <v>2250</v>
      </c>
      <c r="G102" s="229">
        <f t="shared" si="23"/>
        <v>2100</v>
      </c>
      <c r="H102" s="229">
        <f t="shared" si="23"/>
        <v>2150</v>
      </c>
      <c r="I102" s="229"/>
      <c r="J102" s="229">
        <f t="shared" si="23"/>
        <v>2150</v>
      </c>
      <c r="K102" s="201" t="s">
        <v>159</v>
      </c>
      <c r="L102" s="220"/>
      <c r="M102" s="220"/>
      <c r="N102" s="203"/>
      <c r="O102" s="201"/>
      <c r="P102" s="201"/>
    </row>
    <row r="103" spans="1:16" s="9" customFormat="1" ht="4.5" customHeight="1" outlineLevel="1" x14ac:dyDescent="0.3">
      <c r="B103" s="204"/>
      <c r="C103" s="205"/>
      <c r="D103" s="205"/>
      <c r="E103" s="205"/>
      <c r="F103" s="205"/>
      <c r="G103" s="205"/>
      <c r="H103" s="205"/>
      <c r="I103" s="205"/>
      <c r="J103" s="206"/>
      <c r="L103" s="207"/>
      <c r="M103" s="207"/>
    </row>
    <row r="104" spans="1:16" s="96" customFormat="1" ht="13" outlineLevel="1" x14ac:dyDescent="0.3">
      <c r="A104" s="232" t="s">
        <v>160</v>
      </c>
      <c r="B104" s="161"/>
      <c r="C104" s="233">
        <f>C105*C106</f>
        <v>0</v>
      </c>
      <c r="D104" s="233">
        <f t="shared" ref="D104:J104" si="24">D105*D106</f>
        <v>150</v>
      </c>
      <c r="E104" s="233">
        <f t="shared" si="24"/>
        <v>150</v>
      </c>
      <c r="F104" s="233">
        <f t="shared" si="24"/>
        <v>150</v>
      </c>
      <c r="G104" s="233">
        <f t="shared" si="24"/>
        <v>150</v>
      </c>
      <c r="H104" s="233">
        <f t="shared" si="24"/>
        <v>200</v>
      </c>
      <c r="I104" s="233"/>
      <c r="J104" s="234">
        <f t="shared" si="24"/>
        <v>200</v>
      </c>
      <c r="L104" s="210"/>
      <c r="M104" s="210"/>
    </row>
    <row r="105" spans="1:16" s="96" customFormat="1" ht="13" outlineLevel="1" x14ac:dyDescent="0.3">
      <c r="A105" s="212" t="s">
        <v>161</v>
      </c>
      <c r="B105" s="161" t="s">
        <v>162</v>
      </c>
      <c r="C105" s="213"/>
      <c r="D105" s="213">
        <v>500</v>
      </c>
      <c r="E105" s="213">
        <v>500</v>
      </c>
      <c r="F105" s="213">
        <v>500</v>
      </c>
      <c r="G105" s="213">
        <v>500</v>
      </c>
      <c r="H105" s="213">
        <v>500</v>
      </c>
      <c r="I105" s="213"/>
      <c r="J105" s="214">
        <v>500</v>
      </c>
      <c r="L105" s="210"/>
      <c r="M105" s="210"/>
    </row>
    <row r="106" spans="1:16" s="96" customFormat="1" ht="13" outlineLevel="1" x14ac:dyDescent="0.3">
      <c r="A106" s="212" t="s">
        <v>163</v>
      </c>
      <c r="B106" s="161" t="s">
        <v>164</v>
      </c>
      <c r="C106" s="235"/>
      <c r="D106" s="235">
        <f t="shared" ref="D106:J106" si="25">SUM(D70:D71)</f>
        <v>0.3</v>
      </c>
      <c r="E106" s="235">
        <f t="shared" si="25"/>
        <v>0.3</v>
      </c>
      <c r="F106" s="235">
        <f t="shared" si="25"/>
        <v>0.3</v>
      </c>
      <c r="G106" s="235">
        <f t="shared" si="25"/>
        <v>0.3</v>
      </c>
      <c r="H106" s="235">
        <f t="shared" si="25"/>
        <v>0.4</v>
      </c>
      <c r="I106" s="235"/>
      <c r="J106" s="236">
        <f t="shared" si="25"/>
        <v>0.4</v>
      </c>
      <c r="L106" s="210"/>
      <c r="M106" s="210"/>
    </row>
    <row r="107" spans="1:16" s="96" customFormat="1" ht="13" outlineLevel="1" x14ac:dyDescent="0.3">
      <c r="B107" s="161"/>
      <c r="C107" s="233"/>
      <c r="D107" s="233"/>
      <c r="E107" s="233"/>
      <c r="F107" s="233"/>
      <c r="G107" s="233"/>
      <c r="H107" s="233"/>
      <c r="I107" s="233"/>
      <c r="J107" s="234"/>
      <c r="L107" s="210"/>
      <c r="M107" s="210"/>
    </row>
    <row r="108" spans="1:16" s="96" customFormat="1" ht="13" outlineLevel="1" x14ac:dyDescent="0.3">
      <c r="A108" s="232" t="s">
        <v>165</v>
      </c>
      <c r="B108" s="161"/>
      <c r="C108" s="233">
        <f t="shared" ref="C108:J108" si="26">C109*12</f>
        <v>0</v>
      </c>
      <c r="D108" s="233">
        <f>D109*12</f>
        <v>1200</v>
      </c>
      <c r="E108" s="233">
        <f t="shared" si="26"/>
        <v>1200</v>
      </c>
      <c r="F108" s="233">
        <f t="shared" si="26"/>
        <v>1200</v>
      </c>
      <c r="G108" s="233">
        <f t="shared" si="26"/>
        <v>1200</v>
      </c>
      <c r="H108" s="233">
        <f t="shared" si="26"/>
        <v>1200</v>
      </c>
      <c r="I108" s="233"/>
      <c r="J108" s="234">
        <f t="shared" si="26"/>
        <v>1200</v>
      </c>
      <c r="K108" s="227"/>
      <c r="L108" s="210"/>
      <c r="M108" s="210"/>
    </row>
    <row r="109" spans="1:16" s="96" customFormat="1" ht="13" outlineLevel="1" x14ac:dyDescent="0.3">
      <c r="A109" s="96" t="s">
        <v>166</v>
      </c>
      <c r="B109" s="161" t="s">
        <v>167</v>
      </c>
      <c r="C109" s="213">
        <v>0</v>
      </c>
      <c r="D109" s="213">
        <v>100</v>
      </c>
      <c r="E109" s="213">
        <v>100</v>
      </c>
      <c r="F109" s="213">
        <v>100</v>
      </c>
      <c r="G109" s="213">
        <v>100</v>
      </c>
      <c r="H109" s="213">
        <v>100</v>
      </c>
      <c r="I109" s="213"/>
      <c r="J109" s="214">
        <v>100</v>
      </c>
      <c r="L109" s="210"/>
      <c r="M109" s="210"/>
    </row>
    <row r="110" spans="1:16" s="96" customFormat="1" ht="13" outlineLevel="1" x14ac:dyDescent="0.3">
      <c r="B110" s="161"/>
      <c r="J110" s="209"/>
      <c r="L110" s="210"/>
      <c r="M110" s="210"/>
    </row>
    <row r="111" spans="1:16" s="96" customFormat="1" ht="13" outlineLevel="1" x14ac:dyDescent="0.3">
      <c r="A111" s="211" t="s">
        <v>168</v>
      </c>
      <c r="B111" s="161" t="s">
        <v>169</v>
      </c>
      <c r="C111" s="233">
        <v>0</v>
      </c>
      <c r="D111" s="233">
        <v>300</v>
      </c>
      <c r="E111" s="233">
        <v>300</v>
      </c>
      <c r="F111" s="233">
        <v>300</v>
      </c>
      <c r="G111" s="233">
        <v>300</v>
      </c>
      <c r="H111" s="233">
        <v>300</v>
      </c>
      <c r="I111" s="233"/>
      <c r="J111" s="234">
        <v>300</v>
      </c>
      <c r="L111" s="210"/>
      <c r="M111" s="210"/>
    </row>
    <row r="112" spans="1:16" s="96" customFormat="1" ht="13" outlineLevel="1" x14ac:dyDescent="0.3">
      <c r="B112" s="161"/>
      <c r="C112" s="237"/>
      <c r="D112" s="237"/>
      <c r="E112" s="237"/>
      <c r="F112" s="237"/>
      <c r="G112" s="237"/>
      <c r="H112" s="237"/>
      <c r="I112" s="237"/>
      <c r="J112" s="238"/>
      <c r="L112" s="210"/>
      <c r="M112" s="210"/>
    </row>
    <row r="113" spans="1:16" s="96" customFormat="1" ht="13" outlineLevel="1" x14ac:dyDescent="0.3">
      <c r="A113" s="211" t="s">
        <v>170</v>
      </c>
      <c r="B113" s="161"/>
      <c r="C113" s="233">
        <f t="shared" ref="C113:J113" si="27">IFERROR(C114+C118,"N/A")</f>
        <v>0</v>
      </c>
      <c r="D113" s="233">
        <f t="shared" si="27"/>
        <v>900</v>
      </c>
      <c r="E113" s="233">
        <f t="shared" si="27"/>
        <v>900</v>
      </c>
      <c r="F113" s="233">
        <f t="shared" si="27"/>
        <v>600</v>
      </c>
      <c r="G113" s="233">
        <f t="shared" si="27"/>
        <v>450</v>
      </c>
      <c r="H113" s="233">
        <f t="shared" si="27"/>
        <v>450</v>
      </c>
      <c r="I113" s="233"/>
      <c r="J113" s="234">
        <f t="shared" si="27"/>
        <v>450</v>
      </c>
      <c r="K113" s="227"/>
      <c r="L113" s="210" t="s">
        <v>171</v>
      </c>
      <c r="M113" s="210"/>
    </row>
    <row r="114" spans="1:16" s="96" customFormat="1" ht="13" outlineLevel="1" x14ac:dyDescent="0.3">
      <c r="A114" s="212" t="s">
        <v>172</v>
      </c>
      <c r="B114" s="161"/>
      <c r="C114" s="225">
        <f t="shared" ref="C114:J114" si="28">IFERROR(C115*C116,"N/A")</f>
        <v>0</v>
      </c>
      <c r="D114" s="225">
        <f t="shared" si="28"/>
        <v>900</v>
      </c>
      <c r="E114" s="225">
        <f t="shared" si="28"/>
        <v>900</v>
      </c>
      <c r="F114" s="225">
        <f t="shared" si="28"/>
        <v>600</v>
      </c>
      <c r="G114" s="225">
        <f t="shared" si="28"/>
        <v>450</v>
      </c>
      <c r="H114" s="225">
        <f t="shared" si="28"/>
        <v>450</v>
      </c>
      <c r="I114" s="225"/>
      <c r="J114" s="226">
        <f t="shared" si="28"/>
        <v>450</v>
      </c>
      <c r="L114" s="210"/>
      <c r="M114" s="210"/>
    </row>
    <row r="115" spans="1:16" s="96" customFormat="1" outlineLevel="1" x14ac:dyDescent="0.3">
      <c r="A115" s="239" t="s">
        <v>173</v>
      </c>
      <c r="B115" s="161" t="s">
        <v>174</v>
      </c>
      <c r="C115" s="240">
        <v>0</v>
      </c>
      <c r="D115" s="240">
        <v>0.05</v>
      </c>
      <c r="E115" s="240">
        <v>0.05</v>
      </c>
      <c r="F115" s="240">
        <v>0.05</v>
      </c>
      <c r="G115" s="240">
        <v>0.05</v>
      </c>
      <c r="H115" s="240">
        <v>0.05</v>
      </c>
      <c r="I115" s="240"/>
      <c r="J115" s="241">
        <v>0.05</v>
      </c>
      <c r="K115" s="242"/>
      <c r="L115" s="243"/>
      <c r="M115" s="210"/>
    </row>
    <row r="116" spans="1:16" s="96" customFormat="1" ht="15.75" customHeight="1" outlineLevel="1" x14ac:dyDescent="0.3">
      <c r="A116" s="239" t="s">
        <v>175</v>
      </c>
      <c r="B116" s="161" t="s">
        <v>176</v>
      </c>
      <c r="C116" s="213">
        <v>0</v>
      </c>
      <c r="D116" s="213">
        <f>12*1500</f>
        <v>18000</v>
      </c>
      <c r="E116" s="213">
        <f>12*1500</f>
        <v>18000</v>
      </c>
      <c r="F116" s="213">
        <f>12*1000</f>
        <v>12000</v>
      </c>
      <c r="G116" s="213">
        <f>12*750</f>
        <v>9000</v>
      </c>
      <c r="H116" s="213">
        <f t="shared" ref="H116:J116" si="29">12*750</f>
        <v>9000</v>
      </c>
      <c r="I116" s="213"/>
      <c r="J116" s="214">
        <f t="shared" si="29"/>
        <v>9000</v>
      </c>
      <c r="L116" s="210"/>
      <c r="M116" s="210"/>
    </row>
    <row r="117" spans="1:16" s="96" customFormat="1" ht="13" outlineLevel="1" x14ac:dyDescent="0.3">
      <c r="B117" s="161"/>
      <c r="D117" s="237"/>
      <c r="E117" s="237"/>
      <c r="F117" s="237"/>
      <c r="G117" s="237"/>
      <c r="H117" s="237"/>
      <c r="I117" s="237"/>
      <c r="J117" s="238"/>
      <c r="L117" s="210"/>
      <c r="M117" s="210"/>
    </row>
    <row r="118" spans="1:16" s="96" customFormat="1" outlineLevel="1" x14ac:dyDescent="0.3">
      <c r="A118" s="212" t="s">
        <v>177</v>
      </c>
      <c r="B118" s="161"/>
      <c r="C118" s="225">
        <f t="shared" ref="C118:J118" si="30">C119*C120</f>
        <v>0</v>
      </c>
      <c r="D118" s="225">
        <f t="shared" si="30"/>
        <v>0</v>
      </c>
      <c r="E118" s="225">
        <f t="shared" si="30"/>
        <v>0</v>
      </c>
      <c r="F118" s="225">
        <f t="shared" si="30"/>
        <v>0</v>
      </c>
      <c r="G118" s="225">
        <f t="shared" si="30"/>
        <v>0</v>
      </c>
      <c r="H118" s="225">
        <f t="shared" si="30"/>
        <v>0</v>
      </c>
      <c r="I118" s="225"/>
      <c r="J118" s="226">
        <f t="shared" si="30"/>
        <v>0</v>
      </c>
      <c r="K118" s="242"/>
      <c r="L118" s="210"/>
      <c r="M118" s="210"/>
    </row>
    <row r="119" spans="1:16" s="96" customFormat="1" outlineLevel="1" x14ac:dyDescent="0.3">
      <c r="A119" s="239" t="s">
        <v>178</v>
      </c>
      <c r="B119" s="161" t="s">
        <v>179</v>
      </c>
      <c r="C119" s="244"/>
      <c r="D119" s="244"/>
      <c r="E119" s="244"/>
      <c r="F119" s="244"/>
      <c r="G119" s="244"/>
      <c r="H119" s="244"/>
      <c r="I119" s="244"/>
      <c r="J119" s="245"/>
      <c r="K119" s="242"/>
      <c r="L119" s="243"/>
      <c r="M119" s="210"/>
    </row>
    <row r="120" spans="1:16" s="96" customFormat="1" outlineLevel="1" x14ac:dyDescent="0.3">
      <c r="A120" s="239" t="s">
        <v>180</v>
      </c>
      <c r="B120" s="161" t="s">
        <v>181</v>
      </c>
      <c r="C120" s="213"/>
      <c r="D120" s="213"/>
      <c r="E120" s="213"/>
      <c r="F120" s="213"/>
      <c r="G120" s="213"/>
      <c r="H120" s="213"/>
      <c r="I120" s="213"/>
      <c r="J120" s="214"/>
      <c r="K120" s="242"/>
      <c r="L120" s="210" t="s">
        <v>182</v>
      </c>
      <c r="M120" s="210"/>
    </row>
    <row r="121" spans="1:16" s="9" customFormat="1" ht="4.5" customHeight="1" outlineLevel="1" x14ac:dyDescent="0.3">
      <c r="B121" s="204"/>
      <c r="C121" s="205"/>
      <c r="D121" s="205"/>
      <c r="E121" s="205"/>
      <c r="F121" s="205"/>
      <c r="G121" s="205"/>
      <c r="H121" s="205"/>
      <c r="I121" s="205"/>
      <c r="J121" s="206"/>
      <c r="L121" s="207"/>
      <c r="M121" s="207"/>
    </row>
    <row r="122" spans="1:16" s="9" customFormat="1" ht="14.25" customHeight="1" outlineLevel="1" x14ac:dyDescent="0.3">
      <c r="A122" s="217" t="s">
        <v>183</v>
      </c>
      <c r="B122" s="218"/>
      <c r="C122" s="229" t="str">
        <f>C124</f>
        <v>N/A</v>
      </c>
      <c r="D122" s="229" t="str">
        <f t="shared" ref="D122:J122" si="31">D124</f>
        <v>N/A</v>
      </c>
      <c r="E122" s="229" t="str">
        <f t="shared" si="31"/>
        <v>N/A</v>
      </c>
      <c r="F122" s="229" t="str">
        <f t="shared" si="31"/>
        <v>N/A</v>
      </c>
      <c r="G122" s="229" t="str">
        <f t="shared" si="31"/>
        <v>N/A</v>
      </c>
      <c r="H122" s="229" t="str">
        <f t="shared" si="31"/>
        <v>N/A</v>
      </c>
      <c r="I122" s="229"/>
      <c r="J122" s="229" t="str">
        <f t="shared" si="31"/>
        <v>N/A</v>
      </c>
      <c r="K122" s="201" t="s">
        <v>184</v>
      </c>
      <c r="L122" s="220"/>
      <c r="M122" s="220"/>
      <c r="N122" s="203"/>
      <c r="O122" s="201"/>
      <c r="P122" s="201"/>
    </row>
    <row r="123" spans="1:16" s="9" customFormat="1" ht="4.5" customHeight="1" outlineLevel="1" x14ac:dyDescent="0.3">
      <c r="B123" s="204"/>
      <c r="C123" s="205"/>
      <c r="D123" s="205"/>
      <c r="E123" s="205"/>
      <c r="F123" s="205"/>
      <c r="G123" s="205"/>
      <c r="H123" s="205"/>
      <c r="I123" s="205"/>
      <c r="J123" s="206"/>
      <c r="L123" s="207"/>
      <c r="M123" s="207"/>
    </row>
    <row r="124" spans="1:16" outlineLevel="1" x14ac:dyDescent="0.3">
      <c r="A124" s="221" t="s">
        <v>185</v>
      </c>
      <c r="B124" s="224" t="s">
        <v>186</v>
      </c>
      <c r="C124" s="225" t="str">
        <f>IFERROR(#REF!,"N/A")</f>
        <v>N/A</v>
      </c>
      <c r="D124" s="225" t="str">
        <f>IFERROR(#REF!,"N/A")</f>
        <v>N/A</v>
      </c>
      <c r="E124" s="225" t="str">
        <f>IFERROR(#REF!,"N/A")</f>
        <v>N/A</v>
      </c>
      <c r="F124" s="225" t="str">
        <f>IFERROR(#REF!,"N/A")</f>
        <v>N/A</v>
      </c>
      <c r="G124" s="225" t="str">
        <f>IFERROR(#REF!,"N/A")</f>
        <v>N/A</v>
      </c>
      <c r="H124" s="225" t="str">
        <f>IFERROR(#REF!,"N/A")</f>
        <v>N/A</v>
      </c>
      <c r="I124" s="225"/>
      <c r="J124" s="226" t="str">
        <f>IFERROR(#REF!,"N/A")</f>
        <v>N/A</v>
      </c>
      <c r="K124" s="227" t="s">
        <v>187</v>
      </c>
      <c r="L124" s="243"/>
      <c r="M124" s="228"/>
    </row>
    <row r="125" spans="1:16" s="9" customFormat="1" ht="4.5" customHeight="1" outlineLevel="1" x14ac:dyDescent="0.3">
      <c r="B125" s="204"/>
      <c r="C125" s="205"/>
      <c r="D125" s="205"/>
      <c r="E125" s="205"/>
      <c r="F125" s="205"/>
      <c r="G125" s="205"/>
      <c r="H125" s="205"/>
      <c r="I125" s="205"/>
      <c r="J125" s="206"/>
      <c r="L125" s="207"/>
      <c r="M125" s="207"/>
    </row>
    <row r="126" spans="1:16" s="96" customFormat="1" outlineLevel="1" x14ac:dyDescent="0.3">
      <c r="A126" s="246" t="s">
        <v>188</v>
      </c>
      <c r="B126" s="247"/>
      <c r="C126" s="248"/>
      <c r="D126" s="248"/>
      <c r="E126" s="248"/>
      <c r="F126" s="248"/>
      <c r="G126" s="248"/>
      <c r="H126" s="248"/>
      <c r="I126" s="248"/>
      <c r="J126" s="249"/>
      <c r="K126" s="201" t="s">
        <v>189</v>
      </c>
      <c r="L126" s="250"/>
      <c r="M126" s="250"/>
      <c r="N126" s="248"/>
      <c r="O126" s="248"/>
      <c r="P126" s="248"/>
    </row>
    <row r="127" spans="1:16" s="96" customFormat="1" ht="13" outlineLevel="1" x14ac:dyDescent="0.3">
      <c r="A127" s="96" t="s">
        <v>190</v>
      </c>
      <c r="B127" s="161"/>
      <c r="C127" s="240"/>
      <c r="D127" s="240"/>
      <c r="E127" s="240"/>
      <c r="F127" s="240"/>
      <c r="G127" s="240"/>
      <c r="H127" s="240"/>
      <c r="I127" s="240"/>
      <c r="J127" s="241"/>
      <c r="L127" s="210"/>
      <c r="M127" s="210"/>
    </row>
    <row r="130" spans="1:1" x14ac:dyDescent="0.3">
      <c r="A130" s="10"/>
    </row>
    <row r="131" spans="1:1" x14ac:dyDescent="0.3">
      <c r="A131" s="10"/>
    </row>
    <row r="132" spans="1:1" x14ac:dyDescent="0.3">
      <c r="A132" s="10"/>
    </row>
    <row r="133" spans="1:1" x14ac:dyDescent="0.3">
      <c r="A133" s="10"/>
    </row>
    <row r="134" spans="1:1" x14ac:dyDescent="0.3">
      <c r="A134" s="10"/>
    </row>
  </sheetData>
  <mergeCells count="1">
    <mergeCell ref="A5:P5"/>
  </mergeCells>
  <hyperlinks>
    <hyperlink ref="M93" r:id="rId1" xr:uid="{00000000-0004-0000-0200-000000000000}"/>
    <hyperlink ref="M78" r:id="rId2" xr:uid="{00000000-0004-0000-0200-000001000000}"/>
  </hyperlinks>
  <pageMargins left="0.7" right="0.7" top="0.78740157499999996" bottom="0.78740157499999996" header="0.3" footer="0.3"/>
  <pageSetup paperSize="9" scale="27" orientation="landscape" r:id="rId3"/>
  <colBreaks count="1" manualBreakCount="1">
    <brk id="16" max="1048575" man="1"/>
  </col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2:S61"/>
  <sheetViews>
    <sheetView topLeftCell="A40" zoomScale="85" zoomScaleNormal="85" zoomScaleSheetLayoutView="100" workbookViewId="0">
      <selection activeCell="B11" sqref="B11"/>
    </sheetView>
  </sheetViews>
  <sheetFormatPr baseColWidth="10" defaultColWidth="10.58203125" defaultRowHeight="15.5" x14ac:dyDescent="0.3"/>
  <cols>
    <col min="1" max="1" width="10.58203125" style="26"/>
    <col min="2" max="2" width="60.58203125" style="26" customWidth="1"/>
    <col min="3" max="3" width="13.58203125" style="26" customWidth="1"/>
    <col min="4" max="4" width="27.83203125" style="26" customWidth="1"/>
    <col min="5" max="5" width="15.83203125" style="26" customWidth="1"/>
    <col min="6" max="6" width="16.08203125" style="26" customWidth="1"/>
    <col min="7" max="7" width="29.5" style="26" customWidth="1"/>
    <col min="8" max="8" width="10.58203125" style="26"/>
    <col min="9" max="9" width="10.58203125" style="26" customWidth="1"/>
    <col min="10" max="10" width="17.83203125" style="26" customWidth="1"/>
    <col min="11" max="12" width="10.58203125" style="26"/>
    <col min="13" max="13" width="28.08203125" style="26" customWidth="1"/>
    <col min="14" max="16384" width="10.58203125" style="26"/>
  </cols>
  <sheetData>
    <row r="2" spans="1:19" s="19" customFormat="1" ht="17.5" customHeight="1" x14ac:dyDescent="0.3">
      <c r="A2" s="19">
        <v>2</v>
      </c>
      <c r="B2" s="20" t="s">
        <v>191</v>
      </c>
      <c r="C2" s="21">
        <v>0.33</v>
      </c>
      <c r="D2" s="21">
        <v>0.33</v>
      </c>
      <c r="E2" s="19" t="s">
        <v>192</v>
      </c>
      <c r="F2" s="22">
        <v>0</v>
      </c>
      <c r="G2" s="22">
        <v>0</v>
      </c>
      <c r="H2" s="23">
        <v>0.8</v>
      </c>
      <c r="J2" s="22"/>
      <c r="K2" s="24"/>
      <c r="M2" s="25"/>
      <c r="N2" s="21"/>
      <c r="O2" s="21"/>
    </row>
    <row r="3" spans="1:19" x14ac:dyDescent="0.3">
      <c r="C3" s="27" t="s">
        <v>193</v>
      </c>
      <c r="F3" s="28"/>
    </row>
    <row r="4" spans="1:19" x14ac:dyDescent="0.3">
      <c r="C4" s="29"/>
      <c r="D4" s="29"/>
      <c r="J4" s="29"/>
      <c r="K4" s="29"/>
      <c r="L4" s="29"/>
      <c r="M4" s="29"/>
      <c r="N4" s="29"/>
      <c r="O4" s="30"/>
    </row>
    <row r="5" spans="1:19" ht="28" customHeight="1" x14ac:dyDescent="0.3">
      <c r="B5" s="31"/>
      <c r="C5" s="539" t="s">
        <v>194</v>
      </c>
      <c r="D5" s="540"/>
      <c r="E5" s="26" t="s">
        <v>195</v>
      </c>
      <c r="G5" s="32" t="s">
        <v>196</v>
      </c>
      <c r="I5" s="33"/>
      <c r="K5" s="34"/>
      <c r="M5" s="27"/>
      <c r="N5" s="27"/>
      <c r="O5" s="27"/>
    </row>
    <row r="6" spans="1:19" ht="77.5" x14ac:dyDescent="0.3">
      <c r="B6" s="35" t="s">
        <v>197</v>
      </c>
      <c r="C6" s="36" t="s">
        <v>198</v>
      </c>
      <c r="D6" s="37" t="s">
        <v>199</v>
      </c>
      <c r="E6" s="36" t="s">
        <v>200</v>
      </c>
      <c r="F6" s="37" t="s">
        <v>201</v>
      </c>
      <c r="G6" s="36" t="s">
        <v>202</v>
      </c>
      <c r="H6" s="37" t="s">
        <v>203</v>
      </c>
      <c r="I6" s="38" t="s">
        <v>204</v>
      </c>
      <c r="J6" s="32"/>
      <c r="K6" s="28"/>
      <c r="M6" s="39"/>
      <c r="N6" s="39"/>
      <c r="O6" s="38"/>
    </row>
    <row r="7" spans="1:19" x14ac:dyDescent="0.3">
      <c r="A7" s="19">
        <v>0</v>
      </c>
      <c r="B7" s="40" t="s">
        <v>205</v>
      </c>
      <c r="C7" s="41"/>
      <c r="D7" s="41"/>
      <c r="E7" s="41"/>
      <c r="F7" s="41"/>
      <c r="G7" s="41"/>
      <c r="I7" s="42"/>
      <c r="J7" s="41"/>
      <c r="K7" s="28"/>
      <c r="M7" s="43"/>
      <c r="N7" s="43"/>
      <c r="O7" s="44"/>
    </row>
    <row r="8" spans="1:19" s="19" customFormat="1" ht="27.65" customHeight="1" x14ac:dyDescent="0.3">
      <c r="A8" s="19">
        <v>1</v>
      </c>
      <c r="B8" s="20" t="s">
        <v>273</v>
      </c>
      <c r="C8" s="21">
        <v>0</v>
      </c>
      <c r="D8" s="21">
        <v>0</v>
      </c>
      <c r="E8" s="22">
        <v>0</v>
      </c>
      <c r="F8" s="22">
        <v>0</v>
      </c>
      <c r="G8" s="19" t="s">
        <v>206</v>
      </c>
      <c r="H8" s="19" t="s">
        <v>207</v>
      </c>
      <c r="I8" s="23">
        <v>0.8</v>
      </c>
      <c r="J8" s="22"/>
      <c r="K8" s="24"/>
      <c r="M8" s="21"/>
      <c r="N8" s="21"/>
      <c r="O8" s="21"/>
    </row>
    <row r="9" spans="1:19" s="19" customFormat="1" ht="25.5" customHeight="1" x14ac:dyDescent="0.3">
      <c r="A9" s="19">
        <v>2</v>
      </c>
      <c r="B9" s="45" t="s">
        <v>274</v>
      </c>
      <c r="C9" s="25">
        <v>0.2</v>
      </c>
      <c r="D9" s="25">
        <v>0.2</v>
      </c>
      <c r="E9" s="22">
        <v>0</v>
      </c>
      <c r="F9" s="22">
        <v>0</v>
      </c>
      <c r="G9" s="19" t="s">
        <v>208</v>
      </c>
      <c r="H9" s="19" t="s">
        <v>209</v>
      </c>
      <c r="I9" s="23">
        <v>0.8</v>
      </c>
      <c r="J9" s="22"/>
      <c r="K9" s="24"/>
      <c r="M9" s="25"/>
      <c r="N9" s="21"/>
      <c r="O9" s="21"/>
    </row>
    <row r="10" spans="1:19" s="19" customFormat="1" ht="35.25" customHeight="1" x14ac:dyDescent="0.3">
      <c r="A10" s="19">
        <v>3</v>
      </c>
      <c r="B10" s="45" t="s">
        <v>397</v>
      </c>
      <c r="C10" s="25">
        <v>0</v>
      </c>
      <c r="D10" s="21">
        <v>0</v>
      </c>
      <c r="E10" s="22">
        <v>0.1</v>
      </c>
      <c r="F10" s="22">
        <v>0.2</v>
      </c>
      <c r="G10" s="65">
        <f>22%+22%*E10</f>
        <v>0.24199999999999999</v>
      </c>
      <c r="H10" s="65">
        <f>22%+22%*F10</f>
        <v>0.26400000000000001</v>
      </c>
      <c r="I10" s="23">
        <v>0.9</v>
      </c>
      <c r="J10" s="22"/>
      <c r="K10" s="46"/>
      <c r="M10" s="25"/>
      <c r="N10" s="21"/>
      <c r="O10" s="21"/>
    </row>
    <row r="11" spans="1:19" s="19" customFormat="1" ht="35.25" customHeight="1" x14ac:dyDescent="0.3">
      <c r="A11" s="19">
        <v>4</v>
      </c>
      <c r="B11" s="45" t="s">
        <v>396</v>
      </c>
      <c r="C11" s="25">
        <v>0.33</v>
      </c>
      <c r="D11" s="21">
        <v>0.33</v>
      </c>
      <c r="E11" s="22">
        <v>0</v>
      </c>
      <c r="F11" s="22">
        <v>0</v>
      </c>
      <c r="G11" s="22">
        <v>0.37</v>
      </c>
      <c r="H11" s="22">
        <v>0.37</v>
      </c>
      <c r="I11" s="23">
        <v>0.8</v>
      </c>
      <c r="J11" s="22"/>
      <c r="K11" s="46"/>
      <c r="M11" s="25"/>
      <c r="N11" s="21"/>
      <c r="O11" s="21"/>
    </row>
    <row r="12" spans="1:19" s="19" customFormat="1" ht="31.5" customHeight="1" x14ac:dyDescent="0.3">
      <c r="A12" s="19">
        <v>5</v>
      </c>
      <c r="B12" s="45" t="s">
        <v>394</v>
      </c>
      <c r="C12" s="25">
        <v>0.33</v>
      </c>
      <c r="D12" s="21">
        <v>0.33</v>
      </c>
      <c r="E12" s="22">
        <v>0</v>
      </c>
      <c r="F12" s="22">
        <v>0</v>
      </c>
      <c r="G12" s="22">
        <v>0.34</v>
      </c>
      <c r="H12" s="22">
        <v>0.34</v>
      </c>
      <c r="I12" s="23">
        <v>0.8</v>
      </c>
      <c r="J12" s="22"/>
      <c r="K12" s="24"/>
      <c r="M12" s="25"/>
      <c r="N12" s="21"/>
      <c r="O12" s="21"/>
    </row>
    <row r="13" spans="1:19" s="19" customFormat="1" ht="17.25" customHeight="1" x14ac:dyDescent="0.35">
      <c r="A13" s="19">
        <v>6</v>
      </c>
      <c r="B13" s="45" t="s">
        <v>275</v>
      </c>
      <c r="C13" s="47">
        <v>0.5</v>
      </c>
      <c r="D13" s="48">
        <v>0.5</v>
      </c>
      <c r="E13" s="22">
        <v>0</v>
      </c>
      <c r="F13" s="22">
        <v>0</v>
      </c>
      <c r="G13" s="19" t="s">
        <v>210</v>
      </c>
      <c r="H13" s="19" t="s">
        <v>211</v>
      </c>
      <c r="I13" s="23">
        <v>0.8</v>
      </c>
      <c r="J13" s="22"/>
      <c r="K13" s="24"/>
      <c r="M13" s="25"/>
      <c r="N13" s="21"/>
      <c r="O13" s="21"/>
      <c r="Q13" s="49">
        <v>80</v>
      </c>
      <c r="R13" s="26" t="s">
        <v>212</v>
      </c>
      <c r="S13" s="26" t="s">
        <v>213</v>
      </c>
    </row>
    <row r="14" spans="1:19" s="19" customFormat="1" ht="15.65" customHeight="1" x14ac:dyDescent="0.3">
      <c r="A14" s="19">
        <v>7</v>
      </c>
      <c r="B14" s="50" t="s">
        <v>405</v>
      </c>
      <c r="C14" s="25">
        <v>0</v>
      </c>
      <c r="D14" s="21">
        <v>0</v>
      </c>
      <c r="E14" s="22">
        <v>0.1</v>
      </c>
      <c r="F14" s="22">
        <v>0.2</v>
      </c>
      <c r="G14" s="19" t="s">
        <v>279</v>
      </c>
      <c r="I14" s="23">
        <v>0.9</v>
      </c>
      <c r="J14" s="22"/>
      <c r="K14" s="46"/>
      <c r="M14" s="25"/>
      <c r="N14" s="21"/>
      <c r="O14" s="21"/>
      <c r="Q14" s="26">
        <v>90</v>
      </c>
      <c r="R14" s="26" t="s">
        <v>214</v>
      </c>
      <c r="S14" s="26"/>
    </row>
    <row r="15" spans="1:19" s="19" customFormat="1" ht="15.65" customHeight="1" x14ac:dyDescent="0.3">
      <c r="A15" s="19">
        <v>8</v>
      </c>
      <c r="B15" s="50" t="s">
        <v>276</v>
      </c>
      <c r="C15" s="25">
        <v>0</v>
      </c>
      <c r="D15" s="21">
        <v>0</v>
      </c>
      <c r="E15" s="22">
        <v>0.1</v>
      </c>
      <c r="F15" s="22">
        <v>0.2</v>
      </c>
      <c r="G15" s="19" t="s">
        <v>215</v>
      </c>
      <c r="I15" s="23">
        <v>1</v>
      </c>
      <c r="J15" s="22"/>
      <c r="K15" s="46"/>
      <c r="M15" s="25"/>
      <c r="N15" s="21"/>
      <c r="O15" s="21"/>
      <c r="Q15" s="26">
        <v>100</v>
      </c>
      <c r="R15" s="26" t="s">
        <v>216</v>
      </c>
      <c r="S15" s="26"/>
    </row>
    <row r="16" spans="1:19" s="19" customFormat="1" x14ac:dyDescent="0.3">
      <c r="A16" s="19">
        <v>9</v>
      </c>
      <c r="B16" s="51" t="s">
        <v>277</v>
      </c>
      <c r="C16" s="25">
        <v>0</v>
      </c>
      <c r="D16" s="21">
        <v>0</v>
      </c>
      <c r="E16" s="22">
        <v>0.1</v>
      </c>
      <c r="F16" s="22">
        <v>0.2</v>
      </c>
      <c r="G16" s="19" t="s">
        <v>280</v>
      </c>
      <c r="I16" s="23" t="s">
        <v>217</v>
      </c>
      <c r="J16" s="22"/>
      <c r="K16" s="46"/>
    </row>
    <row r="17" spans="1:11" s="19" customFormat="1" x14ac:dyDescent="0.3">
      <c r="A17" s="19">
        <v>10</v>
      </c>
      <c r="B17" s="68" t="s">
        <v>281</v>
      </c>
      <c r="C17" s="25">
        <v>0</v>
      </c>
      <c r="D17" s="21">
        <v>0</v>
      </c>
      <c r="E17" s="22">
        <v>0.1</v>
      </c>
      <c r="F17" s="22">
        <v>0.2</v>
      </c>
      <c r="G17" s="19" t="s">
        <v>279</v>
      </c>
      <c r="I17" s="23">
        <v>1</v>
      </c>
      <c r="J17" s="22"/>
      <c r="K17" s="46"/>
    </row>
    <row r="18" spans="1:11" s="19" customFormat="1" x14ac:dyDescent="0.3">
      <c r="A18" s="19">
        <v>11</v>
      </c>
      <c r="B18" s="68" t="s">
        <v>429</v>
      </c>
      <c r="C18" s="25">
        <v>0</v>
      </c>
      <c r="D18" s="21">
        <v>0</v>
      </c>
      <c r="E18" s="22">
        <v>0.1</v>
      </c>
      <c r="F18" s="22">
        <v>0.2</v>
      </c>
      <c r="G18" s="65">
        <f>22%+22%*E18</f>
        <v>0.24199999999999999</v>
      </c>
      <c r="H18" s="65">
        <f>22%+22%*F18</f>
        <v>0.26400000000000001</v>
      </c>
      <c r="I18" s="23">
        <v>1</v>
      </c>
      <c r="K18" s="24"/>
    </row>
    <row r="19" spans="1:11" x14ac:dyDescent="0.35">
      <c r="B19" s="52"/>
      <c r="C19" s="49"/>
      <c r="D19" s="49"/>
    </row>
    <row r="21" spans="1:11" ht="62" x14ac:dyDescent="0.3">
      <c r="B21" s="53" t="s">
        <v>218</v>
      </c>
      <c r="C21" s="53" t="s">
        <v>219</v>
      </c>
      <c r="F21" s="26" t="s">
        <v>411</v>
      </c>
    </row>
    <row r="22" spans="1:11" x14ac:dyDescent="0.3">
      <c r="B22" s="54" t="s">
        <v>220</v>
      </c>
      <c r="C22" s="53"/>
      <c r="F22" s="26" t="s">
        <v>407</v>
      </c>
    </row>
    <row r="23" spans="1:11" x14ac:dyDescent="0.3">
      <c r="B23" s="54" t="s">
        <v>221</v>
      </c>
      <c r="C23" s="55">
        <v>0.34</v>
      </c>
      <c r="F23" s="26" t="s">
        <v>408</v>
      </c>
    </row>
    <row r="24" spans="1:11" x14ac:dyDescent="0.3">
      <c r="B24" s="54" t="s">
        <v>222</v>
      </c>
      <c r="C24" s="55">
        <v>0.37</v>
      </c>
      <c r="F24" s="26" t="s">
        <v>409</v>
      </c>
    </row>
    <row r="25" spans="1:11" x14ac:dyDescent="0.3">
      <c r="B25" s="54" t="s">
        <v>406</v>
      </c>
      <c r="C25" s="55">
        <v>0.4</v>
      </c>
      <c r="F25" s="26" t="s">
        <v>410</v>
      </c>
    </row>
    <row r="27" spans="1:11" ht="62.5" thickBot="1" x14ac:dyDescent="0.35">
      <c r="B27" s="56" t="s">
        <v>223</v>
      </c>
      <c r="C27" s="56" t="s">
        <v>224</v>
      </c>
      <c r="D27" s="56" t="s">
        <v>225</v>
      </c>
      <c r="E27" s="56" t="s">
        <v>398</v>
      </c>
      <c r="F27" s="56" t="s">
        <v>226</v>
      </c>
      <c r="G27" s="26" t="s">
        <v>227</v>
      </c>
    </row>
    <row r="28" spans="1:11" ht="23.5" thickBot="1" x14ac:dyDescent="0.35">
      <c r="B28" s="365" t="s">
        <v>228</v>
      </c>
      <c r="C28" s="365" t="s">
        <v>229</v>
      </c>
      <c r="D28" s="365" t="s">
        <v>401</v>
      </c>
      <c r="E28" s="365" t="s">
        <v>399</v>
      </c>
      <c r="F28" s="366" t="s">
        <v>230</v>
      </c>
    </row>
    <row r="29" spans="1:11" ht="23.5" thickBot="1" x14ac:dyDescent="0.35">
      <c r="B29" s="365" t="s">
        <v>393</v>
      </c>
      <c r="C29" s="365" t="s">
        <v>391</v>
      </c>
      <c r="D29" s="365" t="s">
        <v>231</v>
      </c>
      <c r="E29" s="365" t="s">
        <v>400</v>
      </c>
      <c r="F29" s="367" t="s">
        <v>282</v>
      </c>
    </row>
    <row r="30" spans="1:11" x14ac:dyDescent="0.3">
      <c r="B30" s="365" t="s">
        <v>392</v>
      </c>
      <c r="C30" s="365" t="s">
        <v>232</v>
      </c>
      <c r="D30" s="365" t="s">
        <v>233</v>
      </c>
      <c r="E30" s="365" t="s">
        <v>234</v>
      </c>
      <c r="F30" s="365" t="s">
        <v>235</v>
      </c>
    </row>
    <row r="31" spans="1:11" x14ac:dyDescent="0.3">
      <c r="B31" s="365" t="s">
        <v>236</v>
      </c>
      <c r="C31" s="365" t="s">
        <v>237</v>
      </c>
      <c r="D31" s="365" t="s">
        <v>238</v>
      </c>
      <c r="E31" s="365" t="s">
        <v>239</v>
      </c>
      <c r="F31" s="368"/>
    </row>
    <row r="32" spans="1:11" x14ac:dyDescent="0.3">
      <c r="B32" s="365" t="s">
        <v>240</v>
      </c>
      <c r="C32" s="365" t="s">
        <v>241</v>
      </c>
      <c r="D32" s="368" t="s">
        <v>242</v>
      </c>
      <c r="E32" s="365" t="s">
        <v>243</v>
      </c>
      <c r="F32" s="365"/>
    </row>
    <row r="33" spans="2:14" x14ac:dyDescent="0.3">
      <c r="B33" s="365" t="s">
        <v>244</v>
      </c>
      <c r="C33" s="365" t="s">
        <v>245</v>
      </c>
      <c r="D33" s="368"/>
      <c r="E33" s="368" t="s">
        <v>246</v>
      </c>
      <c r="F33" s="365"/>
    </row>
    <row r="34" spans="2:14" x14ac:dyDescent="0.3">
      <c r="B34" s="368" t="s">
        <v>247</v>
      </c>
      <c r="C34" s="368" t="s">
        <v>248</v>
      </c>
      <c r="D34" s="365"/>
      <c r="E34" s="365"/>
      <c r="F34" s="365"/>
    </row>
    <row r="36" spans="2:14" x14ac:dyDescent="0.3">
      <c r="B36" s="53" t="s">
        <v>249</v>
      </c>
      <c r="D36" s="53" t="s">
        <v>250</v>
      </c>
    </row>
    <row r="37" spans="2:14" x14ac:dyDescent="0.3">
      <c r="B37" s="59" t="s">
        <v>251</v>
      </c>
      <c r="D37" s="59" t="s">
        <v>252</v>
      </c>
    </row>
    <row r="38" spans="2:14" x14ac:dyDescent="0.3">
      <c r="B38" s="59" t="s">
        <v>253</v>
      </c>
      <c r="D38" s="59" t="s">
        <v>254</v>
      </c>
    </row>
    <row r="39" spans="2:14" x14ac:dyDescent="0.3">
      <c r="B39" s="66" t="s">
        <v>255</v>
      </c>
      <c r="D39" s="66" t="s">
        <v>278</v>
      </c>
    </row>
    <row r="41" spans="2:14" x14ac:dyDescent="0.3">
      <c r="B41" s="53" t="s">
        <v>256</v>
      </c>
      <c r="D41" s="26" t="s">
        <v>257</v>
      </c>
      <c r="F41" s="254"/>
    </row>
    <row r="42" spans="2:14" x14ac:dyDescent="0.3">
      <c r="B42" s="59" t="s">
        <v>258</v>
      </c>
      <c r="D42" s="26" t="s">
        <v>259</v>
      </c>
    </row>
    <row r="43" spans="2:14" x14ac:dyDescent="0.3">
      <c r="B43" s="59" t="s">
        <v>260</v>
      </c>
      <c r="D43" s="26" t="s">
        <v>261</v>
      </c>
    </row>
    <row r="44" spans="2:14" x14ac:dyDescent="0.3">
      <c r="B44" s="66" t="s">
        <v>262</v>
      </c>
      <c r="D44" s="26" t="s">
        <v>263</v>
      </c>
    </row>
    <row r="46" spans="2:14" ht="20" x14ac:dyDescent="0.3">
      <c r="B46" s="60" t="s">
        <v>264</v>
      </c>
      <c r="D46" s="495" t="s">
        <v>416</v>
      </c>
      <c r="E46" s="496"/>
      <c r="F46" s="496"/>
      <c r="G46" s="496"/>
      <c r="H46" s="497"/>
      <c r="I46" s="496"/>
      <c r="J46" s="498" t="s">
        <v>417</v>
      </c>
      <c r="K46" s="496"/>
      <c r="L46" s="496"/>
      <c r="M46" s="496"/>
      <c r="N46" s="499"/>
    </row>
    <row r="47" spans="2:14" x14ac:dyDescent="0.3">
      <c r="B47" s="61" t="s">
        <v>265</v>
      </c>
      <c r="D47" s="500" t="s">
        <v>418</v>
      </c>
      <c r="E47" s="501"/>
      <c r="F47" s="501"/>
      <c r="G47" s="43" t="s">
        <v>419</v>
      </c>
      <c r="H47" s="502"/>
      <c r="I47" s="43"/>
      <c r="J47" s="503" t="s">
        <v>420</v>
      </c>
      <c r="K47" s="43"/>
      <c r="L47" s="43"/>
      <c r="M47" s="43" t="s">
        <v>419</v>
      </c>
      <c r="N47" s="28"/>
    </row>
    <row r="48" spans="2:14" x14ac:dyDescent="0.35">
      <c r="B48" s="62" t="s">
        <v>284</v>
      </c>
      <c r="D48" s="504"/>
      <c r="E48" s="501"/>
      <c r="F48" s="501"/>
      <c r="G48" s="43"/>
      <c r="H48" s="502"/>
      <c r="I48" s="43"/>
      <c r="J48" s="503"/>
      <c r="K48" s="43"/>
      <c r="L48" s="43"/>
      <c r="M48" s="43"/>
      <c r="N48" s="28"/>
    </row>
    <row r="49" spans="2:14" x14ac:dyDescent="0.35">
      <c r="B49" s="63" t="s">
        <v>286</v>
      </c>
      <c r="D49" s="504"/>
      <c r="E49" s="501"/>
      <c r="F49" s="501"/>
      <c r="G49" s="43"/>
      <c r="H49" s="502"/>
      <c r="I49" s="43"/>
      <c r="J49" s="503"/>
      <c r="K49" s="43"/>
      <c r="L49" s="43"/>
      <c r="M49" s="43"/>
      <c r="N49" s="28"/>
    </row>
    <row r="50" spans="2:14" ht="31" x14ac:dyDescent="0.35">
      <c r="B50" s="63" t="s">
        <v>285</v>
      </c>
      <c r="D50" s="405" t="s">
        <v>426</v>
      </c>
      <c r="E50" s="404" t="s">
        <v>428</v>
      </c>
      <c r="F50" s="501"/>
      <c r="G50" s="405" t="s">
        <v>426</v>
      </c>
      <c r="H50" s="505" t="s">
        <v>428</v>
      </c>
      <c r="I50" s="501"/>
      <c r="J50" s="404" t="s">
        <v>426</v>
      </c>
      <c r="K50" s="404" t="s">
        <v>428</v>
      </c>
      <c r="L50" s="501"/>
      <c r="M50" s="404" t="s">
        <v>426</v>
      </c>
      <c r="N50" s="404" t="s">
        <v>428</v>
      </c>
    </row>
    <row r="51" spans="2:14" x14ac:dyDescent="0.35">
      <c r="B51" s="63" t="s">
        <v>283</v>
      </c>
      <c r="D51" s="405" t="s">
        <v>421</v>
      </c>
      <c r="E51" s="404" t="s">
        <v>330</v>
      </c>
      <c r="F51" s="501"/>
      <c r="G51" s="405" t="s">
        <v>421</v>
      </c>
      <c r="H51" s="505" t="s">
        <v>330</v>
      </c>
      <c r="I51" s="501"/>
      <c r="J51" s="404" t="e">
        <f>IF('Compte des résultats'!#REF!&gt;0,"Prix de vente"&amp;" "&amp;'Compte des résultats'!A17,"")</f>
        <v>#REF!</v>
      </c>
      <c r="K51" s="404" t="e">
        <f>IF('Compte des résultats'!#REF!&gt;0,"CHF/unité","")</f>
        <v>#REF!</v>
      </c>
      <c r="L51" s="501"/>
      <c r="M51" s="404" t="e">
        <f>IF('Compte des résultats'!#REF!&gt;0,"Prix de vente"&amp;" "&amp;'Compte des résultats'!A17,"")</f>
        <v>#REF!</v>
      </c>
      <c r="N51" s="404" t="e">
        <f>IF('Compte des résultats'!#REF!&gt;0,"CHF/unité","")</f>
        <v>#REF!</v>
      </c>
    </row>
    <row r="52" spans="2:14" x14ac:dyDescent="0.35">
      <c r="B52" s="63" t="s">
        <v>266</v>
      </c>
      <c r="D52" s="404" t="s">
        <v>427</v>
      </c>
      <c r="E52" s="404" t="s">
        <v>433</v>
      </c>
      <c r="F52" s="501"/>
      <c r="G52" s="404" t="s">
        <v>427</v>
      </c>
      <c r="H52" s="404" t="s">
        <v>433</v>
      </c>
      <c r="I52" s="501"/>
      <c r="J52" s="404" t="e">
        <f>IF('Compte des résultats'!#REF!&gt;0,"Quantité"&amp;" "&amp;'Compte des résultats'!A17,"")</f>
        <v>#REF!</v>
      </c>
      <c r="K52" s="404" t="e">
        <f>IF('Compte des résultats'!#REF!&gt;0,"à définir","")</f>
        <v>#REF!</v>
      </c>
      <c r="L52" s="501"/>
      <c r="M52" s="404" t="e">
        <f>IF('Compte des résultats'!#REF!&gt;0,"Quantité"&amp;" "&amp;'Compte des résultats'!A17,"")</f>
        <v>#REF!</v>
      </c>
      <c r="N52" s="404" t="e">
        <f>IF('Compte des résultats'!#REF!&gt;0,"à définir","")</f>
        <v>#REF!</v>
      </c>
    </row>
    <row r="53" spans="2:14" ht="15.75" customHeight="1" x14ac:dyDescent="0.35">
      <c r="B53" s="63" t="s">
        <v>267</v>
      </c>
      <c r="D53" s="404" t="e">
        <f>IF('Compte des résultats'!#REF!&gt;0,"Prix de vente"&amp;" "&amp;'Compte des résultats'!A17,"")</f>
        <v>#REF!</v>
      </c>
      <c r="E53" s="404" t="e">
        <f>IF('Compte des résultats'!#REF!&gt;0,"CHF/unité","")</f>
        <v>#REF!</v>
      </c>
      <c r="F53" s="506"/>
      <c r="G53" s="404" t="e">
        <f>IF('Compte des résultats'!#REF!&gt;0,"Prix de vente"&amp;" "&amp;'Compte des résultats'!A17,"")</f>
        <v>#REF!</v>
      </c>
      <c r="H53" s="404" t="e">
        <f>IF('Compte des résultats'!#REF!&gt;0,"CHF/unité","")</f>
        <v>#REF!</v>
      </c>
      <c r="I53" s="506"/>
      <c r="J53" s="404" t="e">
        <f>IF('Compte des résultats'!#REF!&gt;0,"Prix de vente"&amp;" "&amp;'Compte des résultats'!A18,"")</f>
        <v>#REF!</v>
      </c>
      <c r="K53" s="404" t="e">
        <f>IF('Compte des résultats'!#REF!&gt;0,"CHF/unité","")</f>
        <v>#REF!</v>
      </c>
      <c r="L53" s="506"/>
      <c r="M53" s="404" t="e">
        <f>IF('Compte des résultats'!#REF!&gt;0,"Prix de matière première"&amp;" "&amp;'Compte des résultats'!A27,"")</f>
        <v>#REF!</v>
      </c>
      <c r="N53" s="404" t="e">
        <f>IF('Compte des résultats'!#REF!&gt;0,"CHF/unité","")</f>
        <v>#REF!</v>
      </c>
    </row>
    <row r="54" spans="2:14" ht="31.5" customHeight="1" x14ac:dyDescent="0.3">
      <c r="D54" s="404" t="e">
        <f>IF('Compte des résultats'!#REF!&gt;0,"Quantité"&amp;" "&amp;'Compte des résultats'!A17,"")</f>
        <v>#REF!</v>
      </c>
      <c r="E54" s="404" t="e">
        <f>IF('Compte des résultats'!#REF!&gt;0,"à définir","")</f>
        <v>#REF!</v>
      </c>
      <c r="G54" s="404" t="e">
        <f>IF('Compte des résultats'!#REF!&gt;0,"Quantité"&amp;" "&amp;'Compte des résultats'!A17,"")</f>
        <v>#REF!</v>
      </c>
      <c r="H54" s="404" t="e">
        <f>IF('Compte des résultats'!#REF!&gt;0,"à définir","")</f>
        <v>#REF!</v>
      </c>
      <c r="J54" s="404" t="e">
        <f>IF('Compte des résultats'!#REF!&gt;0,"Quantité"&amp;" "&amp;'Compte des résultats'!A18,"")</f>
        <v>#REF!</v>
      </c>
      <c r="K54" s="404" t="e">
        <f>IF('Compte des résultats'!#REF!&gt;0,"à définir","")</f>
        <v>#REF!</v>
      </c>
      <c r="M54" s="404" t="e">
        <f>IF('Compte des résultats'!#REF!&gt;0,"Prix de vente"&amp;" "&amp;'Compte des résultats'!A18,"")</f>
        <v>#REF!</v>
      </c>
      <c r="N54" s="404" t="e">
        <f>IF('Compte des résultats'!#REF!&gt;0,"CHF/unité","")</f>
        <v>#REF!</v>
      </c>
    </row>
    <row r="55" spans="2:14" x14ac:dyDescent="0.3">
      <c r="B55" s="56" t="s">
        <v>268</v>
      </c>
      <c r="D55" s="404" t="e">
        <f>IF('Compte des résultats'!#REF!&gt;0,"Prix de vente"&amp;" "&amp;'Compte des résultats'!A18,"")</f>
        <v>#REF!</v>
      </c>
      <c r="E55" s="404" t="e">
        <f>IF('Compte des résultats'!#REF!&gt;0,"CHF/unité","")</f>
        <v>#REF!</v>
      </c>
      <c r="G55" s="404" t="e">
        <f>IF('Compte des résultats'!#REF!&gt;0,"Prix de matière première"&amp;" "&amp;'Compte des résultats'!A27,"")</f>
        <v>#REF!</v>
      </c>
      <c r="H55" s="404" t="e">
        <f>IF('Compte des résultats'!#REF!&gt;0,"CHF/unité","")</f>
        <v>#REF!</v>
      </c>
      <c r="I55" s="26" t="s">
        <v>422</v>
      </c>
      <c r="J55" s="404" t="e">
        <f>IF('Compte des résultats'!#REF!&gt;0,"Prix de vente"&amp;" "&amp;'Compte des résultats'!A19,"")</f>
        <v>#REF!</v>
      </c>
      <c r="K55" s="404" t="e">
        <f>IF('Compte des résultats'!#REF!&gt;0,"CHF/unité","")</f>
        <v>#REF!</v>
      </c>
      <c r="M55" s="404" t="e">
        <f>IF('Compte des résultats'!#REF!&gt;0,"Quantité"&amp;" "&amp;'Compte des résultats'!A18,"")</f>
        <v>#REF!</v>
      </c>
      <c r="N55" s="404" t="e">
        <f>IF('Compte des résultats'!#REF!&gt;0,"à définir","")</f>
        <v>#REF!</v>
      </c>
    </row>
    <row r="56" spans="2:14" x14ac:dyDescent="0.3">
      <c r="B56" s="64" t="s">
        <v>269</v>
      </c>
      <c r="D56" s="404" t="e">
        <f>IF('Compte des résultats'!#REF!&gt;0,"Quantité"&amp;" "&amp;'Compte des résultats'!A18,"")</f>
        <v>#REF!</v>
      </c>
      <c r="E56" s="404" t="e">
        <f>IF('Compte des résultats'!#REF!&gt;0,"à définir","")</f>
        <v>#REF!</v>
      </c>
      <c r="G56" s="404" t="e">
        <f>IF('Compte des résultats'!#REF!&gt;0,"Prix de vente"&amp;" "&amp;'Compte des résultats'!A18,"")</f>
        <v>#REF!</v>
      </c>
      <c r="H56" s="404" t="e">
        <f>IF('Compte des résultats'!#REF!&gt;0,"CHF/unité","")</f>
        <v>#REF!</v>
      </c>
      <c r="I56" s="26" t="s">
        <v>422</v>
      </c>
      <c r="J56" s="404" t="e">
        <f>IF('Compte des résultats'!#REF!&gt;0,"Quantité"&amp;" "&amp;'Compte des résultats'!A19,"")</f>
        <v>#REF!</v>
      </c>
      <c r="K56" s="404" t="e">
        <f>IF('Compte des résultats'!#REF!&gt;0,"à définir","")</f>
        <v>#REF!</v>
      </c>
      <c r="M56" s="404" t="e">
        <f>IF('Compte des résultats'!#REF!&gt;0,"Prix de matière première"&amp;" "&amp;'Compte des résultats'!A28,"")</f>
        <v>#REF!</v>
      </c>
      <c r="N56" s="404" t="e">
        <f>IF('Compte des résultats'!#REF!&gt;0,"CHF/unité","")</f>
        <v>#REF!</v>
      </c>
    </row>
    <row r="57" spans="2:14" x14ac:dyDescent="0.3">
      <c r="B57" s="57" t="s">
        <v>270</v>
      </c>
      <c r="D57" s="404" t="e">
        <f>IF('Compte des résultats'!#REF!&gt;0,"Prix de vente"&amp;" "&amp;'Compte des résultats'!A19,"")</f>
        <v>#REF!</v>
      </c>
      <c r="E57" s="404" t="e">
        <f>IF('Compte des résultats'!#REF!&gt;0,"CHF/unité","")</f>
        <v>#REF!</v>
      </c>
      <c r="G57" s="404" t="e">
        <f>IF('Compte des résultats'!#REF!&gt;0,"Quantité"&amp;" "&amp;'Compte des résultats'!A18,"")</f>
        <v>#REF!</v>
      </c>
      <c r="H57" s="404" t="e">
        <f>IF('Compte des résultats'!#REF!&gt;0,"à définir","")</f>
        <v>#REF!</v>
      </c>
      <c r="M57" s="404" t="e">
        <f>IF('Compte des résultats'!#REF!&gt;0,"Prix de vente"&amp;" "&amp;'Compte des résultats'!A19,"")</f>
        <v>#REF!</v>
      </c>
      <c r="N57" s="404" t="e">
        <f>IF('Compte des résultats'!#REF!&gt;0,"CHF/unité","")</f>
        <v>#REF!</v>
      </c>
    </row>
    <row r="58" spans="2:14" x14ac:dyDescent="0.3">
      <c r="B58" s="58" t="s">
        <v>271</v>
      </c>
      <c r="D58" s="404" t="e">
        <f>IF('Compte des résultats'!#REF!&gt;0,"Quantité"&amp;" "&amp;'Compte des résultats'!A19,"")</f>
        <v>#REF!</v>
      </c>
      <c r="E58" s="404" t="e">
        <f>IF('Compte des résultats'!#REF!&gt;0,"à définir","")</f>
        <v>#REF!</v>
      </c>
      <c r="G58" s="404" t="e">
        <f>IF('Compte des résultats'!#REF!&gt;0,"Prix de matière première"&amp;" "&amp;'Compte des résultats'!A28,"")</f>
        <v>#REF!</v>
      </c>
      <c r="H58" s="404" t="e">
        <f>IF('Compte des résultats'!#REF!&gt;0,"CHF/unité","")</f>
        <v>#REF!</v>
      </c>
      <c r="M58" s="404" t="e">
        <f>IF('Compte des résultats'!#REF!&gt;0,"Quantité"&amp;" "&amp;'Compte des résultats'!A19,"")</f>
        <v>#REF!</v>
      </c>
      <c r="N58" s="404" t="e">
        <f>IF('Compte des résultats'!#REF!&gt;0,"à définir","")</f>
        <v>#REF!</v>
      </c>
    </row>
    <row r="59" spans="2:14" x14ac:dyDescent="0.3">
      <c r="B59" s="67" t="s">
        <v>272</v>
      </c>
      <c r="G59" s="404" t="e">
        <f>IF('Compte des résultats'!#REF!&gt;0,"Prix de vente"&amp;" "&amp;'Compte des résultats'!A19,"")</f>
        <v>#REF!</v>
      </c>
      <c r="H59" s="404" t="e">
        <f>IF('Compte des résultats'!#REF!&gt;0,"CHF/unité","")</f>
        <v>#REF!</v>
      </c>
      <c r="M59" s="404" t="e">
        <f>IF('Compte des résultats'!#REF!&gt;0,"Prix de matière première"&amp;" "&amp;'Compte des résultats'!A29,"")</f>
        <v>#REF!</v>
      </c>
      <c r="N59" s="404" t="e">
        <f>IF('Compte des résultats'!#REF!&gt;0,"CHF/unité","")</f>
        <v>#REF!</v>
      </c>
    </row>
    <row r="60" spans="2:14" x14ac:dyDescent="0.3">
      <c r="G60" s="404" t="e">
        <f>IF('Compte des résultats'!#REF!&gt;0,"Quantité"&amp;" "&amp;'Compte des résultats'!A19,"")</f>
        <v>#REF!</v>
      </c>
      <c r="H60" s="404" t="e">
        <f>IF('Compte des résultats'!#REF!&gt;0,"à définir","")</f>
        <v>#REF!</v>
      </c>
    </row>
    <row r="61" spans="2:14" x14ac:dyDescent="0.3">
      <c r="G61" s="404" t="e">
        <f>IF('Compte des résultats'!#REF!&gt;0,"Prix de matière première"&amp;" "&amp;'Compte des résultats'!A29,"")</f>
        <v>#REF!</v>
      </c>
      <c r="H61" s="404" t="e">
        <f>IF('Compte des résultats'!#REF!&gt;0,"CHF/unité","")</f>
        <v>#REF!</v>
      </c>
    </row>
  </sheetData>
  <mergeCells count="1">
    <mergeCell ref="C5:D5"/>
  </mergeCells>
  <pageMargins left="0.7" right="0.7" top="0.78740157499999996" bottom="0.78740157499999996" header="0.3" footer="0.3"/>
  <pageSetup paperSize="9" scale="50" orientation="portrait" r:id="rId1"/>
  <colBreaks count="1" manualBreakCount="1">
    <brk id="9" max="57" man="1"/>
  </colBreaks>
  <legacy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Compte des résultats</vt:lpstr>
      <vt:lpstr>Calcul contributions</vt:lpstr>
      <vt:lpstr>Exemples hypothèses</vt:lpstr>
      <vt:lpstr>Dropdown input</vt:lpstr>
      <vt:lpstr>'Calcul contributions'!Druckbereich</vt:lpstr>
      <vt:lpstr>'Compte des résultats'!Druckbereich</vt:lpstr>
      <vt:lpstr>'Dropdown input'!Druckbereich</vt:lpstr>
      <vt:lpstr>'Exemples hypothèses'!Druckbereich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2021-01-13T13:06:37Z</cp:lastPrinted>
  <dcterms:created xsi:type="dcterms:W3CDTF">2020-03-06T14:56:44Z</dcterms:created>
  <dcterms:modified xsi:type="dcterms:W3CDTF">2024-09-30T13:03:59Z</dcterms:modified>
</cp:coreProperties>
</file>