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DieseArbeitsmappe"/>
  <mc:AlternateContent xmlns:mc="http://schemas.openxmlformats.org/markup-compatibility/2006">
    <mc:Choice Requires="x15">
      <x15ac:absPath xmlns:x15ac="http://schemas.microsoft.com/office/spreadsheetml/2010/11/ac" url="\\adb.intra.admin.ch\userhome$\BLW-01\U80798514\config\Desktop\Neue Website\Arbeitsvorlagen PRE\PDR Vorlagen FR\"/>
    </mc:Choice>
  </mc:AlternateContent>
  <xr:revisionPtr revIDLastSave="0" documentId="8_{C3FB003A-C65E-4B10-A524-DB8C493EE7B9}" xr6:coauthVersionLast="47" xr6:coauthVersionMax="47" xr10:uidLastSave="{00000000-0000-0000-0000-000000000000}"/>
  <bookViews>
    <workbookView xWindow="-110" yWindow="-110" windowWidth="19420" windowHeight="10300" xr2:uid="{00000000-000D-0000-FFFF-FFFF00000000}"/>
  </bookViews>
  <sheets>
    <sheet name="Vue d'ensemble" sheetId="1" r:id="rId1"/>
    <sheet name="Compte de résultats" sheetId="10" r:id="rId2"/>
    <sheet name="Sources de financement" sheetId="6" r:id="rId3"/>
    <sheet name="Aperçu liquidités" sheetId="15" r:id="rId4"/>
    <sheet name="CME" sheetId="13" r:id="rId5"/>
    <sheet name="Exemples d'hypothèses" sheetId="9" state="hidden" r:id="rId6"/>
    <sheet name="Dropdown input" sheetId="11" state="hidden" r:id="rId7"/>
  </sheets>
  <definedNames>
    <definedName name="_GoBack" localSheetId="0">CME!$D$5</definedName>
    <definedName name="_xlnm.Print_Area" localSheetId="1">'Compte de résultats'!$A$1:$S$61</definedName>
    <definedName name="_xlnm.Print_Area" localSheetId="6">'Dropdown input'!$A$1:$S$60</definedName>
    <definedName name="_xlnm.Print_Area" localSheetId="5">'Exemples d''hypothèses'!$A$1:$P$127</definedName>
    <definedName name="_xlnm.Print_Area" localSheetId="2">'Sources de financement'!$A$1:$O$175</definedName>
    <definedName name="_xlnm.Print_Area" localSheetId="0">'Vue d''ensemble'!$A$1:$AG$35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1" l="1"/>
  <c r="J27" i="1"/>
  <c r="J28" i="1"/>
  <c r="K26" i="1"/>
  <c r="K27" i="1"/>
  <c r="K28" i="1"/>
  <c r="F34" i="1"/>
  <c r="E34" i="1"/>
  <c r="D43" i="1" l="1"/>
  <c r="P46" i="1"/>
  <c r="P45" i="1"/>
  <c r="G45" i="1" s="1"/>
  <c r="P44" i="1"/>
  <c r="G44" i="1" s="1"/>
  <c r="P43" i="1"/>
  <c r="G43" i="1" s="1"/>
  <c r="G27" i="1"/>
  <c r="G28" i="1"/>
  <c r="D45" i="1"/>
  <c r="F45" i="1" s="1"/>
  <c r="D44" i="1"/>
  <c r="F44" i="1" s="1"/>
  <c r="D26" i="1"/>
  <c r="H26" i="1" s="1"/>
  <c r="D27" i="1"/>
  <c r="D28" i="1"/>
  <c r="H28" i="1" s="1"/>
  <c r="D25" i="1"/>
  <c r="K25" i="1" l="1"/>
  <c r="J25" i="1"/>
  <c r="D46" i="1"/>
  <c r="F43" i="1"/>
  <c r="F46" i="1" s="1"/>
  <c r="G26" i="1"/>
  <c r="G46" i="1"/>
  <c r="M25" i="1"/>
  <c r="M27" i="1"/>
  <c r="M28" i="1"/>
  <c r="H27" i="1"/>
  <c r="N27" i="1"/>
  <c r="M26" i="1"/>
  <c r="H25" i="1"/>
  <c r="N28" i="1" l="1"/>
  <c r="E15" i="11" l="1"/>
  <c r="E14" i="11"/>
  <c r="E13" i="11"/>
  <c r="E12" i="11"/>
  <c r="E11" i="11"/>
  <c r="E10" i="11"/>
  <c r="C44" i="1"/>
  <c r="H44" i="1" s="1"/>
  <c r="C45" i="1"/>
  <c r="H45" i="1" s="1"/>
  <c r="C43" i="1"/>
  <c r="H43" i="1" s="1"/>
  <c r="J43" i="1" s="1"/>
  <c r="K43" i="1" l="1"/>
  <c r="J44" i="1"/>
  <c r="K44" i="1" s="1"/>
  <c r="L44" i="1" s="1"/>
  <c r="M44" i="1" s="1"/>
  <c r="N44" i="1" s="1"/>
  <c r="J45" i="1"/>
  <c r="K45" i="1" s="1"/>
  <c r="L45" i="1" s="1"/>
  <c r="M45" i="1" s="1"/>
  <c r="N45" i="1" s="1"/>
  <c r="H46" i="1"/>
  <c r="Q44" i="1"/>
  <c r="Q45" i="1"/>
  <c r="Q46" i="1"/>
  <c r="Q43" i="1"/>
  <c r="C46" i="1"/>
  <c r="G25" i="1" s="1"/>
  <c r="G34" i="1" s="1"/>
  <c r="J46" i="1" l="1"/>
  <c r="K46" i="1" s="1"/>
  <c r="L43" i="1"/>
  <c r="C4" i="1"/>
  <c r="L46" i="1" l="1"/>
  <c r="M43" i="1"/>
  <c r="N26" i="1"/>
  <c r="L8" i="13"/>
  <c r="J8" i="13"/>
  <c r="H8" i="13"/>
  <c r="M46" i="1" l="1"/>
  <c r="N43" i="1"/>
  <c r="L166" i="6"/>
  <c r="K166" i="6"/>
  <c r="J166" i="6"/>
  <c r="I166" i="6"/>
  <c r="H166" i="6"/>
  <c r="G166" i="6"/>
  <c r="F166" i="6"/>
  <c r="E166" i="6"/>
  <c r="N46" i="1" l="1"/>
  <c r="O46" i="1"/>
  <c r="N60" i="11"/>
  <c r="N59" i="11"/>
  <c r="N58" i="11"/>
  <c r="N57" i="11"/>
  <c r="N56" i="11"/>
  <c r="N55" i="11"/>
  <c r="N54" i="11"/>
  <c r="N53" i="11"/>
  <c r="N52" i="11"/>
  <c r="M60" i="11"/>
  <c r="M59" i="11"/>
  <c r="M58" i="11"/>
  <c r="M57" i="11"/>
  <c r="M56" i="11"/>
  <c r="M55" i="11"/>
  <c r="M54" i="11"/>
  <c r="M53" i="11"/>
  <c r="M52" i="11"/>
  <c r="K57" i="11"/>
  <c r="K56" i="11"/>
  <c r="K55" i="11"/>
  <c r="K54" i="11"/>
  <c r="K53" i="11"/>
  <c r="K52" i="11"/>
  <c r="J57" i="11"/>
  <c r="J56" i="11"/>
  <c r="J55" i="11"/>
  <c r="J54" i="11"/>
  <c r="J53" i="11"/>
  <c r="J52" i="11"/>
  <c r="H61" i="11"/>
  <c r="H60" i="11"/>
  <c r="H59" i="11"/>
  <c r="H58" i="11"/>
  <c r="H57" i="11"/>
  <c r="H56" i="11"/>
  <c r="H55" i="11"/>
  <c r="H54" i="11"/>
  <c r="G62" i="11"/>
  <c r="G61" i="11"/>
  <c r="G60" i="11"/>
  <c r="G59" i="11"/>
  <c r="G58" i="11"/>
  <c r="G57" i="11"/>
  <c r="G56" i="11"/>
  <c r="G55" i="11"/>
  <c r="G54" i="11"/>
  <c r="E59" i="11"/>
  <c r="E58" i="11"/>
  <c r="E57" i="11"/>
  <c r="E56" i="11"/>
  <c r="E55" i="11"/>
  <c r="E54" i="11"/>
  <c r="D59" i="11"/>
  <c r="D58" i="11"/>
  <c r="D57" i="11"/>
  <c r="D56" i="11"/>
  <c r="D55" i="11"/>
  <c r="D54" i="11"/>
  <c r="N19" i="6" l="1"/>
  <c r="G168" i="6" l="1"/>
  <c r="F168" i="6"/>
  <c r="G167" i="6"/>
  <c r="H167" i="6"/>
  <c r="I167" i="6"/>
  <c r="J167" i="6"/>
  <c r="K167" i="6"/>
  <c r="G162" i="6"/>
  <c r="F162" i="6"/>
  <c r="G161" i="6"/>
  <c r="H161" i="6"/>
  <c r="I161" i="6"/>
  <c r="J161" i="6"/>
  <c r="K161" i="6"/>
  <c r="L161" i="6"/>
  <c r="F161" i="6"/>
  <c r="G160" i="6"/>
  <c r="H160" i="6"/>
  <c r="I160" i="6"/>
  <c r="J160" i="6"/>
  <c r="K160" i="6"/>
  <c r="L160" i="6"/>
  <c r="F160" i="6"/>
  <c r="G159" i="6"/>
  <c r="H159" i="6"/>
  <c r="I159" i="6"/>
  <c r="J159" i="6"/>
  <c r="K159" i="6"/>
  <c r="L159" i="6"/>
  <c r="F159" i="6"/>
  <c r="G158" i="6"/>
  <c r="H158" i="6"/>
  <c r="I158" i="6"/>
  <c r="J158" i="6"/>
  <c r="K158" i="6"/>
  <c r="L158" i="6"/>
  <c r="F158" i="6"/>
  <c r="D166" i="6" l="1"/>
  <c r="B2" i="15" l="1"/>
  <c r="L7" i="15"/>
  <c r="K7" i="15"/>
  <c r="J7" i="15"/>
  <c r="I7" i="15"/>
  <c r="H7" i="15"/>
  <c r="G7" i="15"/>
  <c r="F7" i="15"/>
  <c r="E7" i="15"/>
  <c r="N18" i="6" l="1"/>
  <c r="E29" i="1" l="1"/>
  <c r="E30" i="1"/>
  <c r="E31" i="1"/>
  <c r="E32" i="1"/>
  <c r="B2" i="6" l="1"/>
  <c r="F6" i="13" l="1"/>
  <c r="F7" i="13"/>
  <c r="F8" i="13"/>
  <c r="F9" i="13"/>
  <c r="F10" i="13"/>
  <c r="F11" i="13"/>
  <c r="F12" i="13"/>
  <c r="F13" i="13"/>
  <c r="F14" i="13"/>
  <c r="F15" i="13"/>
  <c r="F16" i="13"/>
  <c r="F17" i="13"/>
  <c r="F5" i="13"/>
  <c r="N21" i="10" l="1"/>
  <c r="O21" i="10"/>
  <c r="N22" i="10"/>
  <c r="O22" i="10"/>
  <c r="N23" i="10"/>
  <c r="O23" i="10"/>
  <c r="N24" i="10"/>
  <c r="O24" i="10"/>
  <c r="N25" i="10"/>
  <c r="O25" i="10"/>
  <c r="N26" i="10"/>
  <c r="O26" i="10"/>
  <c r="O20" i="10"/>
  <c r="N20" i="10"/>
  <c r="I11" i="10" l="1"/>
  <c r="I12" i="10"/>
  <c r="I13" i="10"/>
  <c r="I14" i="10"/>
  <c r="I15" i="10"/>
  <c r="I16" i="10"/>
  <c r="I17" i="10"/>
  <c r="I18" i="10"/>
  <c r="C11" i="10"/>
  <c r="C12" i="10"/>
  <c r="C13" i="10"/>
  <c r="K13" i="10" s="1"/>
  <c r="C14" i="10"/>
  <c r="K14" i="10" s="1"/>
  <c r="C15" i="10"/>
  <c r="K15" i="10" s="1"/>
  <c r="C16" i="10"/>
  <c r="C17" i="10"/>
  <c r="K17" i="10" s="1"/>
  <c r="C18" i="10"/>
  <c r="K18" i="10" s="1"/>
  <c r="I21" i="10"/>
  <c r="I22" i="10"/>
  <c r="I23" i="10"/>
  <c r="I24" i="10"/>
  <c r="I25" i="10"/>
  <c r="I26" i="10"/>
  <c r="I27" i="10"/>
  <c r="I20" i="10"/>
  <c r="C21" i="10"/>
  <c r="C22" i="10"/>
  <c r="C23" i="10"/>
  <c r="C24" i="10"/>
  <c r="C25" i="10"/>
  <c r="C26" i="10"/>
  <c r="C27" i="10"/>
  <c r="C20" i="10"/>
  <c r="I10" i="10"/>
  <c r="C10" i="10"/>
  <c r="K16" i="10" l="1"/>
  <c r="D44" i="6"/>
  <c r="D29" i="6"/>
  <c r="D14" i="6"/>
  <c r="F27" i="6" l="1"/>
  <c r="E27" i="6"/>
  <c r="E159" i="6"/>
  <c r="D159" i="6" s="1"/>
  <c r="B46" i="1"/>
  <c r="I46" i="1"/>
  <c r="H168" i="6" l="1"/>
  <c r="I168" i="6"/>
  <c r="J168" i="6"/>
  <c r="K168" i="6"/>
  <c r="L168" i="6"/>
  <c r="E168" i="6"/>
  <c r="E167" i="6"/>
  <c r="H162" i="6"/>
  <c r="H163" i="6" s="1"/>
  <c r="I162" i="6"/>
  <c r="J162" i="6"/>
  <c r="K162" i="6"/>
  <c r="L162" i="6"/>
  <c r="E162" i="6"/>
  <c r="E161" i="6"/>
  <c r="D161" i="6" s="1"/>
  <c r="E160" i="6"/>
  <c r="D160" i="6" s="1"/>
  <c r="E158" i="6"/>
  <c r="D158" i="6" s="1"/>
  <c r="L147" i="6"/>
  <c r="K147" i="6"/>
  <c r="J147" i="6"/>
  <c r="I147" i="6"/>
  <c r="H147" i="6"/>
  <c r="G147" i="6"/>
  <c r="F147" i="6"/>
  <c r="E147" i="6"/>
  <c r="L132" i="6"/>
  <c r="K132" i="6"/>
  <c r="J132" i="6"/>
  <c r="I132" i="6"/>
  <c r="H132" i="6"/>
  <c r="G132" i="6"/>
  <c r="F132" i="6"/>
  <c r="E132" i="6"/>
  <c r="L117" i="6"/>
  <c r="K117" i="6"/>
  <c r="J117" i="6"/>
  <c r="I117" i="6"/>
  <c r="H117" i="6"/>
  <c r="G117" i="6"/>
  <c r="F117" i="6"/>
  <c r="E117" i="6"/>
  <c r="L102" i="6"/>
  <c r="K102" i="6"/>
  <c r="J102" i="6"/>
  <c r="I102" i="6"/>
  <c r="H102" i="6"/>
  <c r="G102" i="6"/>
  <c r="F102" i="6"/>
  <c r="E102" i="6"/>
  <c r="L87" i="6"/>
  <c r="K87" i="6"/>
  <c r="J87" i="6"/>
  <c r="I87" i="6"/>
  <c r="H87" i="6"/>
  <c r="G87" i="6"/>
  <c r="F87" i="6"/>
  <c r="E87" i="6"/>
  <c r="F72" i="6"/>
  <c r="L72" i="6"/>
  <c r="K72" i="6"/>
  <c r="J72" i="6"/>
  <c r="I72" i="6"/>
  <c r="H72" i="6"/>
  <c r="G72" i="6"/>
  <c r="E72" i="6"/>
  <c r="L57" i="6"/>
  <c r="K57" i="6"/>
  <c r="J57" i="6"/>
  <c r="I57" i="6"/>
  <c r="H57" i="6"/>
  <c r="G57" i="6"/>
  <c r="F57" i="6"/>
  <c r="E57" i="6"/>
  <c r="H42" i="6"/>
  <c r="E42" i="6"/>
  <c r="L42" i="6"/>
  <c r="K42" i="6"/>
  <c r="J42" i="6"/>
  <c r="I42" i="6"/>
  <c r="G42" i="6"/>
  <c r="F42" i="6"/>
  <c r="L27" i="6"/>
  <c r="K27" i="6"/>
  <c r="J27" i="6"/>
  <c r="I27" i="6"/>
  <c r="H27" i="6"/>
  <c r="G27" i="6"/>
  <c r="D168" i="6" l="1"/>
  <c r="D162" i="6"/>
  <c r="L175" i="6"/>
  <c r="I175" i="6"/>
  <c r="I23" i="15" s="1"/>
  <c r="H175" i="6"/>
  <c r="H23" i="15" s="1"/>
  <c r="F175" i="6"/>
  <c r="F23" i="15" s="1"/>
  <c r="J175" i="6"/>
  <c r="J23" i="15" s="1"/>
  <c r="G175" i="6"/>
  <c r="G23" i="15" s="1"/>
  <c r="K175" i="6"/>
  <c r="K23" i="15" s="1"/>
  <c r="E175" i="6"/>
  <c r="E23" i="15" s="1"/>
  <c r="D132" i="6"/>
  <c r="D147" i="6"/>
  <c r="F163" i="6"/>
  <c r="E163" i="6"/>
  <c r="G163" i="6"/>
  <c r="D117" i="6"/>
  <c r="D102" i="6"/>
  <c r="D87" i="6"/>
  <c r="D72" i="6"/>
  <c r="D57" i="6"/>
  <c r="D42" i="6"/>
  <c r="D27" i="6"/>
  <c r="L23" i="15" l="1"/>
  <c r="D175" i="6"/>
  <c r="E164" i="6"/>
  <c r="F164" i="6" s="1"/>
  <c r="E169" i="6"/>
  <c r="G46" i="10"/>
  <c r="C46" i="10"/>
  <c r="E46" i="10"/>
  <c r="F46" i="10"/>
  <c r="J46" i="10"/>
  <c r="I46" i="10"/>
  <c r="H46" i="10"/>
  <c r="D46" i="10"/>
  <c r="I163" i="6"/>
  <c r="G164" i="6" l="1"/>
  <c r="E22" i="15"/>
  <c r="E20" i="15" s="1"/>
  <c r="E21" i="15" s="1"/>
  <c r="J163" i="6"/>
  <c r="H164" i="6" l="1"/>
  <c r="L163" i="6"/>
  <c r="K163" i="6"/>
  <c r="D163" i="6" l="1"/>
  <c r="I164" i="6"/>
  <c r="K29" i="1"/>
  <c r="M30" i="1"/>
  <c r="H31" i="1"/>
  <c r="J32" i="1"/>
  <c r="E33" i="1"/>
  <c r="K33" i="1" s="1"/>
  <c r="J164" i="6" l="1"/>
  <c r="K32" i="1"/>
  <c r="H30" i="1"/>
  <c r="M33" i="1"/>
  <c r="M29" i="1"/>
  <c r="H33" i="1"/>
  <c r="H29" i="1"/>
  <c r="J30" i="1"/>
  <c r="K31" i="1"/>
  <c r="M32" i="1"/>
  <c r="J31" i="1"/>
  <c r="H32" i="1"/>
  <c r="J33" i="1"/>
  <c r="J29" i="1"/>
  <c r="K30" i="1"/>
  <c r="M31" i="1"/>
  <c r="B6" i="13"/>
  <c r="C6" i="13"/>
  <c r="B7" i="13"/>
  <c r="C7" i="13"/>
  <c r="B8" i="13"/>
  <c r="C8" i="13"/>
  <c r="B9" i="13"/>
  <c r="C9" i="13"/>
  <c r="B10" i="13"/>
  <c r="C10" i="13"/>
  <c r="B11" i="13"/>
  <c r="C11" i="13"/>
  <c r="B12" i="13"/>
  <c r="C12" i="13"/>
  <c r="B13" i="13"/>
  <c r="C13" i="13"/>
  <c r="B14" i="13"/>
  <c r="C14" i="13"/>
  <c r="B15" i="13"/>
  <c r="C15" i="13"/>
  <c r="B16" i="13"/>
  <c r="C16" i="13"/>
  <c r="B17" i="13"/>
  <c r="C17" i="13"/>
  <c r="C5" i="13"/>
  <c r="B5" i="13"/>
  <c r="A5" i="13"/>
  <c r="K164" i="6" l="1"/>
  <c r="C3" i="1"/>
  <c r="C5" i="1"/>
  <c r="C7" i="1"/>
  <c r="C6" i="1"/>
  <c r="L164" i="6" l="1"/>
  <c r="L9" i="13"/>
  <c r="L10" i="13"/>
  <c r="L11" i="13"/>
  <c r="L12" i="13"/>
  <c r="L13" i="13"/>
  <c r="L14" i="13"/>
  <c r="L15" i="13"/>
  <c r="L16" i="13"/>
  <c r="L17" i="13"/>
  <c r="G17" i="13" l="1"/>
  <c r="E17" i="13"/>
  <c r="D17" i="13"/>
  <c r="N17" i="13" s="1"/>
  <c r="G16" i="13"/>
  <c r="E16" i="13"/>
  <c r="D16" i="13"/>
  <c r="N16" i="13" s="1"/>
  <c r="G15" i="13"/>
  <c r="E15" i="13"/>
  <c r="D15" i="13"/>
  <c r="N15" i="13" s="1"/>
  <c r="G14" i="13"/>
  <c r="D14" i="13"/>
  <c r="N14" i="13" s="1"/>
  <c r="G13" i="13"/>
  <c r="G12" i="13"/>
  <c r="G11" i="13"/>
  <c r="G10" i="13"/>
  <c r="G9" i="13"/>
  <c r="E6" i="13"/>
  <c r="D6" i="13"/>
  <c r="D13" i="13"/>
  <c r="N13" i="13" s="1"/>
  <c r="E14" i="13"/>
  <c r="E13" i="13"/>
  <c r="E10" i="13"/>
  <c r="D10" i="13"/>
  <c r="N10" i="13" s="1"/>
  <c r="D8" i="13"/>
  <c r="N8" i="13" s="1"/>
  <c r="D11" i="13"/>
  <c r="N11" i="13" s="1"/>
  <c r="D9" i="13"/>
  <c r="N9" i="13" s="1"/>
  <c r="D12" i="13" l="1"/>
  <c r="N12" i="13" s="1"/>
  <c r="D7" i="13"/>
  <c r="N7" i="13" s="1"/>
  <c r="E12" i="13"/>
  <c r="E11" i="13"/>
  <c r="E9" i="13"/>
  <c r="H62" i="11" l="1"/>
  <c r="E8" i="13"/>
  <c r="E7" i="13"/>
  <c r="O19" i="10" l="1"/>
  <c r="M19" i="10"/>
  <c r="O9" i="10"/>
  <c r="N9" i="10"/>
  <c r="M9" i="10"/>
  <c r="L9" i="10"/>
  <c r="D8" i="1" l="1"/>
  <c r="I25" i="1" l="1"/>
  <c r="K47" i="10" l="1"/>
  <c r="K48" i="10"/>
  <c r="K49" i="10"/>
  <c r="K35" i="10"/>
  <c r="K36" i="10"/>
  <c r="K37" i="10"/>
  <c r="K38" i="10"/>
  <c r="K39" i="10"/>
  <c r="K40" i="10"/>
  <c r="K41" i="10"/>
  <c r="K42" i="10"/>
  <c r="K27" i="10"/>
  <c r="K23" i="10"/>
  <c r="K24" i="10"/>
  <c r="K25" i="10"/>
  <c r="K26" i="10"/>
  <c r="N29" i="1" l="1"/>
  <c r="N30" i="1"/>
  <c r="N31" i="1"/>
  <c r="N32" i="1"/>
  <c r="N33" i="1"/>
  <c r="D134" i="6" l="1"/>
  <c r="D119" i="6"/>
  <c r="D104" i="6"/>
  <c r="D89" i="6"/>
  <c r="D74" i="6"/>
  <c r="D59" i="6"/>
  <c r="G29" i="1" l="1"/>
  <c r="G30" i="1"/>
  <c r="G31" i="1"/>
  <c r="G32" i="1"/>
  <c r="G33" i="1"/>
  <c r="I33" i="1" l="1"/>
  <c r="L33" i="1" l="1"/>
  <c r="O33" i="1"/>
  <c r="Q33" i="1" l="1"/>
  <c r="R33" i="1" s="1"/>
  <c r="S33" i="1" s="1"/>
  <c r="T33" i="1" l="1"/>
  <c r="V33" i="1" s="1"/>
  <c r="D135" i="6" l="1"/>
  <c r="L135" i="6" s="1"/>
  <c r="U33" i="1"/>
  <c r="F135" i="6" l="1"/>
  <c r="S8" i="10"/>
  <c r="R8" i="10"/>
  <c r="Q8" i="10"/>
  <c r="M135" i="6" l="1"/>
  <c r="F167" i="6"/>
  <c r="G169" i="6"/>
  <c r="F169" i="6" l="1"/>
  <c r="G22" i="15"/>
  <c r="G20" i="15" s="1"/>
  <c r="H169" i="6"/>
  <c r="F22" i="15" l="1"/>
  <c r="F20" i="15" s="1"/>
  <c r="F21" i="15" s="1"/>
  <c r="G21" i="15" s="1"/>
  <c r="H22" i="15"/>
  <c r="H20" i="15" s="1"/>
  <c r="I169" i="6"/>
  <c r="I22" i="15" l="1"/>
  <c r="I20" i="15" s="1"/>
  <c r="H21" i="15"/>
  <c r="J169" i="6"/>
  <c r="I27" i="1"/>
  <c r="I29" i="1"/>
  <c r="O27" i="1" l="1"/>
  <c r="L27" i="1"/>
  <c r="J22" i="15"/>
  <c r="J20" i="15" s="1"/>
  <c r="I21" i="15"/>
  <c r="K169" i="6"/>
  <c r="L29" i="1"/>
  <c r="O29" i="1"/>
  <c r="I30" i="1"/>
  <c r="I28" i="1"/>
  <c r="L28" i="1" s="1"/>
  <c r="I26" i="1"/>
  <c r="K22" i="15" l="1"/>
  <c r="K20" i="15" s="1"/>
  <c r="J21" i="15"/>
  <c r="Q27" i="1"/>
  <c r="R27" i="1" s="1"/>
  <c r="S27" i="1" s="1"/>
  <c r="O28" i="1"/>
  <c r="L30" i="1"/>
  <c r="O30" i="1"/>
  <c r="Q29" i="1"/>
  <c r="R29" i="1" s="1"/>
  <c r="C9" i="10"/>
  <c r="G5" i="13" s="1"/>
  <c r="K21" i="15" l="1"/>
  <c r="T27" i="1"/>
  <c r="V27" i="1" s="1"/>
  <c r="Q28" i="1"/>
  <c r="R28" i="1" s="1"/>
  <c r="S28" i="1" s="1"/>
  <c r="T28" i="1" s="1"/>
  <c r="V28" i="1" s="1"/>
  <c r="B2" i="10"/>
  <c r="P34" i="1" l="1"/>
  <c r="D45" i="6"/>
  <c r="Q30" i="1"/>
  <c r="R30" i="1" s="1"/>
  <c r="O139" i="6" l="1"/>
  <c r="O140" i="6"/>
  <c r="O141" i="6"/>
  <c r="O142" i="6"/>
  <c r="O143" i="6"/>
  <c r="O144" i="6"/>
  <c r="O138" i="6"/>
  <c r="O136" i="6"/>
  <c r="O135" i="6"/>
  <c r="N144" i="6"/>
  <c r="N143" i="6"/>
  <c r="N142" i="6"/>
  <c r="N141" i="6"/>
  <c r="N140" i="6"/>
  <c r="N139" i="6"/>
  <c r="N138" i="6"/>
  <c r="L137" i="6"/>
  <c r="K137" i="6"/>
  <c r="J137" i="6"/>
  <c r="I137" i="6"/>
  <c r="H137" i="6"/>
  <c r="G137" i="6"/>
  <c r="F137" i="6"/>
  <c r="E137" i="6"/>
  <c r="E145" i="6" s="1"/>
  <c r="N136" i="6"/>
  <c r="N135" i="6"/>
  <c r="O124" i="6"/>
  <c r="O125" i="6"/>
  <c r="O126" i="6"/>
  <c r="O127" i="6"/>
  <c r="O128" i="6"/>
  <c r="O129" i="6"/>
  <c r="O123" i="6"/>
  <c r="O121" i="6"/>
  <c r="O111" i="6"/>
  <c r="O97" i="6"/>
  <c r="O64" i="6"/>
  <c r="O93" i="6"/>
  <c r="O109" i="6"/>
  <c r="O110" i="6"/>
  <c r="O112" i="6"/>
  <c r="O113" i="6"/>
  <c r="O114" i="6"/>
  <c r="O108" i="6"/>
  <c r="O106" i="6"/>
  <c r="N129" i="6"/>
  <c r="N128" i="6"/>
  <c r="N127" i="6"/>
  <c r="N126" i="6"/>
  <c r="N125" i="6"/>
  <c r="N124" i="6"/>
  <c r="N123" i="6"/>
  <c r="L122" i="6"/>
  <c r="K122" i="6"/>
  <c r="J122" i="6"/>
  <c r="I122" i="6"/>
  <c r="H122" i="6"/>
  <c r="G122" i="6"/>
  <c r="F122" i="6"/>
  <c r="E122" i="6"/>
  <c r="E130" i="6" s="1"/>
  <c r="N121" i="6"/>
  <c r="N114" i="6"/>
  <c r="N113" i="6"/>
  <c r="N112" i="6"/>
  <c r="N111" i="6"/>
  <c r="N110" i="6"/>
  <c r="N109" i="6"/>
  <c r="N108" i="6"/>
  <c r="L107" i="6"/>
  <c r="K107" i="6"/>
  <c r="K104" i="6" s="1"/>
  <c r="J107" i="6"/>
  <c r="I107" i="6"/>
  <c r="H107" i="6"/>
  <c r="G107" i="6"/>
  <c r="F107" i="6"/>
  <c r="E107" i="6"/>
  <c r="E115" i="6" s="1"/>
  <c r="N106" i="6"/>
  <c r="O91" i="6"/>
  <c r="O94" i="6"/>
  <c r="O95" i="6"/>
  <c r="O96" i="6"/>
  <c r="O98" i="6"/>
  <c r="O99" i="6"/>
  <c r="N99" i="6"/>
  <c r="N98" i="6"/>
  <c r="N97" i="6"/>
  <c r="N96" i="6"/>
  <c r="N95" i="6"/>
  <c r="N94" i="6"/>
  <c r="N93" i="6"/>
  <c r="L92" i="6"/>
  <c r="K92" i="6"/>
  <c r="J92" i="6"/>
  <c r="I92" i="6"/>
  <c r="H92" i="6"/>
  <c r="G92" i="6"/>
  <c r="F92" i="6"/>
  <c r="E92" i="6"/>
  <c r="E100" i="6" s="1"/>
  <c r="N91" i="6"/>
  <c r="K89" i="6"/>
  <c r="O79" i="6"/>
  <c r="O80" i="6"/>
  <c r="O81" i="6"/>
  <c r="O82" i="6"/>
  <c r="O83" i="6"/>
  <c r="O84" i="6"/>
  <c r="O78" i="6"/>
  <c r="O76" i="6"/>
  <c r="O65" i="6"/>
  <c r="O66" i="6"/>
  <c r="O67" i="6"/>
  <c r="O68" i="6"/>
  <c r="O69" i="6"/>
  <c r="O63" i="6"/>
  <c r="O61" i="6"/>
  <c r="O49" i="6"/>
  <c r="O50" i="6"/>
  <c r="O51" i="6"/>
  <c r="O52" i="6"/>
  <c r="O53" i="6"/>
  <c r="O54" i="6"/>
  <c r="O48" i="6"/>
  <c r="O46" i="6"/>
  <c r="O34" i="6"/>
  <c r="O35" i="6"/>
  <c r="O36" i="6"/>
  <c r="O37" i="6"/>
  <c r="O38" i="6"/>
  <c r="O39" i="6"/>
  <c r="O31" i="6"/>
  <c r="O33" i="6"/>
  <c r="O18" i="6"/>
  <c r="F134" i="6" l="1"/>
  <c r="F145" i="6"/>
  <c r="J134" i="6"/>
  <c r="J145" i="6"/>
  <c r="G134" i="6"/>
  <c r="G145" i="6"/>
  <c r="K134" i="6"/>
  <c r="K145" i="6"/>
  <c r="H134" i="6"/>
  <c r="H145" i="6"/>
  <c r="L134" i="6"/>
  <c r="L145" i="6"/>
  <c r="I145" i="6"/>
  <c r="F119" i="6"/>
  <c r="F130" i="6"/>
  <c r="J119" i="6"/>
  <c r="J130" i="6"/>
  <c r="G119" i="6"/>
  <c r="G130" i="6"/>
  <c r="K119" i="6"/>
  <c r="K130" i="6"/>
  <c r="H119" i="6"/>
  <c r="H130" i="6"/>
  <c r="L130" i="6"/>
  <c r="I119" i="6"/>
  <c r="I130" i="6"/>
  <c r="I100" i="6"/>
  <c r="F104" i="6"/>
  <c r="F115" i="6"/>
  <c r="J104" i="6"/>
  <c r="J115" i="6"/>
  <c r="G104" i="6"/>
  <c r="G115" i="6"/>
  <c r="K115" i="6"/>
  <c r="H104" i="6"/>
  <c r="H115" i="6"/>
  <c r="L115" i="6"/>
  <c r="I115" i="6"/>
  <c r="F89" i="6"/>
  <c r="F100" i="6"/>
  <c r="J89" i="6"/>
  <c r="J100" i="6"/>
  <c r="G100" i="6"/>
  <c r="K100" i="6"/>
  <c r="H89" i="6"/>
  <c r="H100" i="6"/>
  <c r="L100" i="6"/>
  <c r="E119" i="6"/>
  <c r="E131" i="6" s="1"/>
  <c r="O134" i="6"/>
  <c r="G89" i="6"/>
  <c r="E134" i="6"/>
  <c r="E146" i="6" s="1"/>
  <c r="I134" i="6"/>
  <c r="E104" i="6"/>
  <c r="E116" i="6" s="1"/>
  <c r="I104" i="6"/>
  <c r="E89" i="6"/>
  <c r="E101" i="6" s="1"/>
  <c r="I89" i="6"/>
  <c r="L152" i="6"/>
  <c r="L16" i="15" s="1"/>
  <c r="K152" i="6"/>
  <c r="K16" i="15" s="1"/>
  <c r="J152" i="6"/>
  <c r="J16" i="15" s="1"/>
  <c r="D145" i="6" l="1"/>
  <c r="D130" i="6"/>
  <c r="D100" i="6"/>
  <c r="D115" i="6"/>
  <c r="L146" i="6"/>
  <c r="K146" i="6"/>
  <c r="I146" i="6"/>
  <c r="H146" i="6"/>
  <c r="F146" i="6"/>
  <c r="G146" i="6"/>
  <c r="J146" i="6"/>
  <c r="I131" i="6"/>
  <c r="H131" i="6"/>
  <c r="J131" i="6"/>
  <c r="K131" i="6"/>
  <c r="F131" i="6"/>
  <c r="G131" i="6"/>
  <c r="F116" i="6"/>
  <c r="H116" i="6"/>
  <c r="G116" i="6"/>
  <c r="I101" i="6"/>
  <c r="I116" i="6"/>
  <c r="G101" i="6"/>
  <c r="J116" i="6"/>
  <c r="K116" i="6"/>
  <c r="H101" i="6"/>
  <c r="K101" i="6"/>
  <c r="J101" i="6"/>
  <c r="F101" i="6"/>
  <c r="N134" i="6"/>
  <c r="L77" i="6"/>
  <c r="K77" i="6"/>
  <c r="J77" i="6"/>
  <c r="I77" i="6"/>
  <c r="H77" i="6"/>
  <c r="G77" i="6"/>
  <c r="F77" i="6"/>
  <c r="E77" i="6"/>
  <c r="L62" i="6"/>
  <c r="K62" i="6"/>
  <c r="J62" i="6"/>
  <c r="I62" i="6"/>
  <c r="H62" i="6"/>
  <c r="G62" i="6"/>
  <c r="F62" i="6"/>
  <c r="E62" i="6"/>
  <c r="E70" i="6" s="1"/>
  <c r="L47" i="6"/>
  <c r="K47" i="6"/>
  <c r="J47" i="6"/>
  <c r="I47" i="6"/>
  <c r="H47" i="6"/>
  <c r="G47" i="6"/>
  <c r="F47" i="6"/>
  <c r="E47" i="6"/>
  <c r="E55" i="6" s="1"/>
  <c r="L32" i="6"/>
  <c r="K32" i="6"/>
  <c r="J32" i="6"/>
  <c r="I32" i="6"/>
  <c r="H32" i="6"/>
  <c r="G32" i="6"/>
  <c r="F32" i="6"/>
  <c r="E32" i="6"/>
  <c r="E40" i="6" s="1"/>
  <c r="F17" i="6"/>
  <c r="G17" i="6"/>
  <c r="H17" i="6"/>
  <c r="I17" i="6"/>
  <c r="J17" i="6"/>
  <c r="K17" i="6"/>
  <c r="L17" i="6"/>
  <c r="E17" i="6"/>
  <c r="N76" i="6"/>
  <c r="N46" i="6"/>
  <c r="N31" i="6"/>
  <c r="N84" i="6"/>
  <c r="N83" i="6"/>
  <c r="N82" i="6"/>
  <c r="N81" i="6"/>
  <c r="N80" i="6"/>
  <c r="N79" i="6"/>
  <c r="N78" i="6"/>
  <c r="N69" i="6"/>
  <c r="N68" i="6"/>
  <c r="N67" i="6"/>
  <c r="N66" i="6"/>
  <c r="N65" i="6"/>
  <c r="N64" i="6"/>
  <c r="N63" i="6"/>
  <c r="N54" i="6"/>
  <c r="N53" i="6"/>
  <c r="N52" i="6"/>
  <c r="N51" i="6"/>
  <c r="N50" i="6"/>
  <c r="N49" i="6"/>
  <c r="N48" i="6"/>
  <c r="N39" i="6"/>
  <c r="N38" i="6"/>
  <c r="N37" i="6"/>
  <c r="N36" i="6"/>
  <c r="N35" i="6"/>
  <c r="N34" i="6"/>
  <c r="N33" i="6"/>
  <c r="N20" i="6"/>
  <c r="N21" i="6"/>
  <c r="N22" i="6"/>
  <c r="N23" i="6"/>
  <c r="N24" i="6"/>
  <c r="D154" i="6"/>
  <c r="D155" i="6"/>
  <c r="D153" i="6"/>
  <c r="N16" i="6"/>
  <c r="E25" i="6" l="1"/>
  <c r="E14" i="6"/>
  <c r="F85" i="6"/>
  <c r="E74" i="6"/>
  <c r="E86" i="6" s="1"/>
  <c r="E85" i="6"/>
  <c r="I74" i="6"/>
  <c r="I85" i="6"/>
  <c r="J74" i="6"/>
  <c r="J85" i="6"/>
  <c r="G74" i="6"/>
  <c r="G85" i="6"/>
  <c r="K74" i="6"/>
  <c r="K85" i="6"/>
  <c r="H74" i="6"/>
  <c r="H85" i="6"/>
  <c r="L85" i="6"/>
  <c r="E59" i="6"/>
  <c r="E71" i="6" s="1"/>
  <c r="I59" i="6"/>
  <c r="I70" i="6"/>
  <c r="F59" i="6"/>
  <c r="F70" i="6"/>
  <c r="J59" i="6"/>
  <c r="J70" i="6"/>
  <c r="G59" i="6"/>
  <c r="G70" i="6"/>
  <c r="K59" i="6"/>
  <c r="K70" i="6"/>
  <c r="H59" i="6"/>
  <c r="H70" i="6"/>
  <c r="L70" i="6"/>
  <c r="E44" i="6"/>
  <c r="E56" i="6" s="1"/>
  <c r="I44" i="6"/>
  <c r="I55" i="6"/>
  <c r="F44" i="6"/>
  <c r="F55" i="6"/>
  <c r="J44" i="6"/>
  <c r="J55" i="6"/>
  <c r="G44" i="6"/>
  <c r="G55" i="6"/>
  <c r="K44" i="6"/>
  <c r="K55" i="6"/>
  <c r="H44" i="6"/>
  <c r="H55" i="6"/>
  <c r="L55" i="6"/>
  <c r="H40" i="6"/>
  <c r="L40" i="6"/>
  <c r="L25" i="6"/>
  <c r="I29" i="6"/>
  <c r="I40" i="6"/>
  <c r="G25" i="6"/>
  <c r="F29" i="6"/>
  <c r="F40" i="6"/>
  <c r="J29" i="6"/>
  <c r="J40" i="6"/>
  <c r="H29" i="6"/>
  <c r="G29" i="6"/>
  <c r="G40" i="6"/>
  <c r="K29" i="6"/>
  <c r="K40" i="6"/>
  <c r="H14" i="6"/>
  <c r="H25" i="6"/>
  <c r="I14" i="6"/>
  <c r="I25" i="6"/>
  <c r="K14" i="6"/>
  <c r="K25" i="6"/>
  <c r="J14" i="6"/>
  <c r="J25" i="6"/>
  <c r="F14" i="6"/>
  <c r="F25" i="6"/>
  <c r="F173" i="6" s="1"/>
  <c r="D146" i="6"/>
  <c r="G14" i="6"/>
  <c r="E29" i="6"/>
  <c r="E41" i="6" s="1"/>
  <c r="F74" i="6"/>
  <c r="K30" i="10"/>
  <c r="K17" i="15" l="1"/>
  <c r="K14" i="15" s="1"/>
  <c r="H17" i="15"/>
  <c r="F17" i="15"/>
  <c r="G17" i="15"/>
  <c r="J17" i="15"/>
  <c r="J14" i="15" s="1"/>
  <c r="I17" i="15"/>
  <c r="E17" i="15"/>
  <c r="G173" i="6"/>
  <c r="E44" i="10" s="1"/>
  <c r="K173" i="6"/>
  <c r="I44" i="10" s="1"/>
  <c r="H173" i="6"/>
  <c r="F44" i="10" s="1"/>
  <c r="E173" i="6"/>
  <c r="C44" i="10" s="1"/>
  <c r="J173" i="6"/>
  <c r="H44" i="10" s="1"/>
  <c r="I173" i="6"/>
  <c r="G44" i="10" s="1"/>
  <c r="L173" i="6"/>
  <c r="F71" i="6"/>
  <c r="I172" i="6"/>
  <c r="F86" i="6"/>
  <c r="I56" i="6"/>
  <c r="F56" i="6"/>
  <c r="I71" i="6"/>
  <c r="F26" i="6"/>
  <c r="E26" i="6"/>
  <c r="E174" i="6" s="1"/>
  <c r="C34" i="10" s="1"/>
  <c r="J56" i="6"/>
  <c r="G56" i="6"/>
  <c r="K56" i="6"/>
  <c r="K71" i="6"/>
  <c r="H71" i="6"/>
  <c r="J71" i="6"/>
  <c r="G71" i="6"/>
  <c r="D85" i="6"/>
  <c r="H56" i="6"/>
  <c r="J172" i="6"/>
  <c r="D70" i="6"/>
  <c r="K172" i="6"/>
  <c r="D55" i="6"/>
  <c r="H172" i="6"/>
  <c r="D40" i="6"/>
  <c r="G172" i="6"/>
  <c r="D44" i="10"/>
  <c r="E172" i="6"/>
  <c r="F172" i="6"/>
  <c r="H86" i="6"/>
  <c r="J86" i="6"/>
  <c r="K86" i="6"/>
  <c r="I86" i="6"/>
  <c r="G86" i="6"/>
  <c r="G26" i="6"/>
  <c r="I41" i="6"/>
  <c r="H41" i="6"/>
  <c r="G41" i="6"/>
  <c r="K26" i="6"/>
  <c r="J26" i="6"/>
  <c r="I26" i="6"/>
  <c r="J41" i="6"/>
  <c r="H26" i="6"/>
  <c r="K41" i="6"/>
  <c r="F41" i="6"/>
  <c r="D25" i="6"/>
  <c r="J44" i="10" l="1"/>
  <c r="D173" i="6"/>
  <c r="I174" i="6"/>
  <c r="G34" i="10" s="1"/>
  <c r="J174" i="6"/>
  <c r="H34" i="10" s="1"/>
  <c r="F174" i="6"/>
  <c r="D34" i="10" s="1"/>
  <c r="G174" i="6"/>
  <c r="E34" i="10" s="1"/>
  <c r="H174" i="6"/>
  <c r="F34" i="10" s="1"/>
  <c r="K174" i="6"/>
  <c r="I34" i="10" s="1"/>
  <c r="D46" i="9" l="1"/>
  <c r="E46" i="9"/>
  <c r="F46" i="9"/>
  <c r="G46" i="9"/>
  <c r="H46" i="9"/>
  <c r="I46" i="9"/>
  <c r="J46" i="9"/>
  <c r="C46" i="9"/>
  <c r="D33" i="9"/>
  <c r="E33" i="9"/>
  <c r="F33" i="9"/>
  <c r="G33" i="9"/>
  <c r="H33" i="9"/>
  <c r="I33" i="9"/>
  <c r="J33" i="9"/>
  <c r="C33" i="9"/>
  <c r="J38" i="9"/>
  <c r="J20" i="9"/>
  <c r="D10" i="9"/>
  <c r="E10" i="9"/>
  <c r="F10" i="9"/>
  <c r="G10" i="9"/>
  <c r="H10" i="9"/>
  <c r="I10" i="9"/>
  <c r="J10" i="9"/>
  <c r="C10" i="9"/>
  <c r="F13" i="6"/>
  <c r="G13" i="6"/>
  <c r="H13" i="6"/>
  <c r="I13" i="6"/>
  <c r="J13" i="6"/>
  <c r="K13" i="6"/>
  <c r="L13" i="6"/>
  <c r="E13" i="6"/>
  <c r="F150" i="6"/>
  <c r="G150" i="6"/>
  <c r="H150" i="6"/>
  <c r="I150" i="6"/>
  <c r="J150" i="6"/>
  <c r="K150" i="6"/>
  <c r="L150" i="6"/>
  <c r="E150" i="6"/>
  <c r="I58" i="10"/>
  <c r="J9" i="10" l="1"/>
  <c r="I19" i="10"/>
  <c r="S22" i="10" s="1"/>
  <c r="I9" i="10"/>
  <c r="L5" i="13" s="1"/>
  <c r="K10" i="10"/>
  <c r="S20" i="10" l="1"/>
  <c r="S21" i="10"/>
  <c r="S26" i="10"/>
  <c r="S25" i="10"/>
  <c r="S27" i="10"/>
  <c r="S24" i="10"/>
  <c r="S23" i="10"/>
  <c r="S13" i="10"/>
  <c r="S17" i="10"/>
  <c r="S14" i="10"/>
  <c r="S18" i="10"/>
  <c r="S10" i="10"/>
  <c r="S19" i="10" l="1"/>
  <c r="S30" i="1"/>
  <c r="T30" i="1" s="1"/>
  <c r="V30" i="1" s="1"/>
  <c r="S29" i="1"/>
  <c r="T29" i="1" s="1"/>
  <c r="V29" i="1" l="1"/>
  <c r="D60" i="6"/>
  <c r="L60" i="6" s="1"/>
  <c r="M60" i="6" s="1"/>
  <c r="L45" i="6"/>
  <c r="M45" i="6" s="1"/>
  <c r="O45" i="6" l="1"/>
  <c r="O44" i="6" s="1"/>
  <c r="L44" i="6"/>
  <c r="N45" i="6"/>
  <c r="O60" i="6"/>
  <c r="O59" i="6" s="1"/>
  <c r="L59" i="6"/>
  <c r="U28" i="1"/>
  <c r="U27" i="1"/>
  <c r="D90" i="6"/>
  <c r="L90" i="6" s="1"/>
  <c r="M90" i="6" s="1"/>
  <c r="D75" i="6"/>
  <c r="L75" i="6" s="1"/>
  <c r="M75" i="6" s="1"/>
  <c r="L56" i="6" l="1"/>
  <c r="D56" i="6" s="1"/>
  <c r="L71" i="6"/>
  <c r="D71" i="6" s="1"/>
  <c r="O75" i="6"/>
  <c r="O74" i="6" s="1"/>
  <c r="L74" i="6"/>
  <c r="N75" i="6"/>
  <c r="N90" i="6"/>
  <c r="O90" i="6"/>
  <c r="O89" i="6" s="1"/>
  <c r="L89" i="6"/>
  <c r="I31" i="1"/>
  <c r="O31" i="1" s="1"/>
  <c r="I32" i="1"/>
  <c r="O32" i="1" s="1"/>
  <c r="U29" i="1"/>
  <c r="U30" i="1"/>
  <c r="N59" i="6"/>
  <c r="N44" i="6"/>
  <c r="L86" i="6" l="1"/>
  <c r="D86" i="6" s="1"/>
  <c r="L101" i="6"/>
  <c r="D101" i="6" s="1"/>
  <c r="L31" i="1"/>
  <c r="Q32" i="1"/>
  <c r="L32" i="1"/>
  <c r="N74" i="6"/>
  <c r="N89" i="6"/>
  <c r="R32" i="1" l="1"/>
  <c r="S32" i="1" s="1"/>
  <c r="Q31" i="1"/>
  <c r="T32" i="1" l="1"/>
  <c r="V32" i="1" s="1"/>
  <c r="R31" i="1"/>
  <c r="S31" i="1" s="1"/>
  <c r="T31" i="1" s="1"/>
  <c r="U32" i="1" l="1"/>
  <c r="V31" i="1"/>
  <c r="D120" i="6"/>
  <c r="L120" i="6" s="1"/>
  <c r="M120" i="6" s="1"/>
  <c r="D105" i="6"/>
  <c r="L105" i="6" s="1"/>
  <c r="U31" i="1"/>
  <c r="L104" i="6" l="1"/>
  <c r="N104" i="6" s="1"/>
  <c r="M105" i="6"/>
  <c r="O120" i="6"/>
  <c r="O119" i="6" s="1"/>
  <c r="L119" i="6"/>
  <c r="N120" i="6"/>
  <c r="N105" i="6"/>
  <c r="O105" i="6"/>
  <c r="O104" i="6" s="1"/>
  <c r="O19" i="6"/>
  <c r="O22" i="6"/>
  <c r="O23" i="6"/>
  <c r="O24" i="6"/>
  <c r="L116" i="6" l="1"/>
  <c r="D116" i="6" s="1"/>
  <c r="L131" i="6"/>
  <c r="D131" i="6" s="1"/>
  <c r="N119" i="6"/>
  <c r="E152" i="6"/>
  <c r="E16" i="15" s="1"/>
  <c r="E14" i="15" s="1"/>
  <c r="E15" i="15" s="1"/>
  <c r="F152" i="6"/>
  <c r="F16" i="15" s="1"/>
  <c r="F14" i="15" s="1"/>
  <c r="G152" i="6"/>
  <c r="G16" i="15" s="1"/>
  <c r="G14" i="15" s="1"/>
  <c r="H152" i="6"/>
  <c r="H16" i="15" s="1"/>
  <c r="H14" i="15" s="1"/>
  <c r="I152" i="6"/>
  <c r="I16" i="15" s="1"/>
  <c r="I14" i="15" s="1"/>
  <c r="F15" i="15" l="1"/>
  <c r="G15" i="15" s="1"/>
  <c r="H15" i="15" s="1"/>
  <c r="I15" i="15" s="1"/>
  <c r="J15" i="15" s="1"/>
  <c r="K15" i="15" s="1"/>
  <c r="D152" i="6"/>
  <c r="J83" i="9"/>
  <c r="H83" i="9"/>
  <c r="G83" i="9"/>
  <c r="F83" i="9"/>
  <c r="E83" i="9"/>
  <c r="D83" i="9"/>
  <c r="C83" i="9"/>
  <c r="J118" i="9" l="1"/>
  <c r="H118" i="9"/>
  <c r="G118" i="9"/>
  <c r="F118" i="9"/>
  <c r="E118" i="9"/>
  <c r="D118" i="9"/>
  <c r="C118" i="9"/>
  <c r="J116" i="9"/>
  <c r="J114" i="9" s="1"/>
  <c r="H116" i="9"/>
  <c r="H114" i="9" s="1"/>
  <c r="G116" i="9"/>
  <c r="G114" i="9" s="1"/>
  <c r="F116" i="9"/>
  <c r="F114" i="9" s="1"/>
  <c r="E116" i="9"/>
  <c r="E114" i="9" s="1"/>
  <c r="D116" i="9"/>
  <c r="D114" i="9" s="1"/>
  <c r="C114" i="9"/>
  <c r="J108" i="9"/>
  <c r="H108" i="9"/>
  <c r="G108" i="9"/>
  <c r="F108" i="9"/>
  <c r="E108" i="9"/>
  <c r="D108" i="9"/>
  <c r="C108" i="9"/>
  <c r="J106" i="9"/>
  <c r="J104" i="9" s="1"/>
  <c r="H106" i="9"/>
  <c r="H104" i="9" s="1"/>
  <c r="G106" i="9"/>
  <c r="G104" i="9" s="1"/>
  <c r="F106" i="9"/>
  <c r="F104" i="9" s="1"/>
  <c r="E106" i="9"/>
  <c r="E104" i="9" s="1"/>
  <c r="D106" i="9"/>
  <c r="D104" i="9" s="1"/>
  <c r="C104" i="9"/>
  <c r="J99" i="9"/>
  <c r="J98" i="9" s="1"/>
  <c r="H99" i="9"/>
  <c r="H98" i="9" s="1"/>
  <c r="G99" i="9"/>
  <c r="G98" i="9" s="1"/>
  <c r="F99" i="9"/>
  <c r="F98" i="9" s="1"/>
  <c r="E99" i="9"/>
  <c r="E98" i="9" s="1"/>
  <c r="D99" i="9"/>
  <c r="D98" i="9" s="1"/>
  <c r="C98" i="9"/>
  <c r="J93" i="9"/>
  <c r="H93" i="9"/>
  <c r="G93" i="9"/>
  <c r="F93" i="9"/>
  <c r="E93" i="9"/>
  <c r="D93" i="9"/>
  <c r="C93" i="9"/>
  <c r="J88" i="9"/>
  <c r="H88" i="9"/>
  <c r="G88" i="9"/>
  <c r="F88" i="9"/>
  <c r="E88" i="9"/>
  <c r="D88" i="9"/>
  <c r="C88" i="9"/>
  <c r="J73" i="9"/>
  <c r="H73" i="9"/>
  <c r="G73" i="9"/>
  <c r="F73" i="9"/>
  <c r="E73" i="9"/>
  <c r="D73" i="9"/>
  <c r="C73" i="9"/>
  <c r="J56" i="9"/>
  <c r="J19" i="10" s="1"/>
  <c r="H56" i="9"/>
  <c r="H19" i="10" s="1"/>
  <c r="G56" i="9"/>
  <c r="G19" i="10" s="1"/>
  <c r="F56" i="9"/>
  <c r="F19" i="10" s="1"/>
  <c r="E56" i="9"/>
  <c r="E19" i="10" s="1"/>
  <c r="D56" i="9"/>
  <c r="D19" i="10" s="1"/>
  <c r="C56" i="9"/>
  <c r="C19" i="10" s="1"/>
  <c r="J55" i="9"/>
  <c r="H55" i="9"/>
  <c r="H9" i="10" s="1"/>
  <c r="G55" i="9"/>
  <c r="G9" i="10" s="1"/>
  <c r="J5" i="13" s="1"/>
  <c r="F55" i="9"/>
  <c r="F9" i="10" s="1"/>
  <c r="E55" i="9"/>
  <c r="E9" i="10" s="1"/>
  <c r="H5" i="13" s="1"/>
  <c r="D55" i="9"/>
  <c r="D9" i="10" s="1"/>
  <c r="C55" i="9"/>
  <c r="C42" i="9"/>
  <c r="C41" i="9"/>
  <c r="K39" i="9"/>
  <c r="I38" i="9"/>
  <c r="H38" i="9"/>
  <c r="G38" i="9"/>
  <c r="F38" i="9"/>
  <c r="E38" i="9"/>
  <c r="D38" i="9"/>
  <c r="K37" i="9"/>
  <c r="K36" i="9"/>
  <c r="D35" i="9"/>
  <c r="E35" i="9" s="1"/>
  <c r="E42" i="9" s="1"/>
  <c r="K25" i="9"/>
  <c r="K23" i="9"/>
  <c r="C21" i="9"/>
  <c r="I20" i="9"/>
  <c r="K20" i="9" s="1"/>
  <c r="D19" i="9"/>
  <c r="D21" i="9" s="1"/>
  <c r="D26" i="9" s="1"/>
  <c r="K18" i="9"/>
  <c r="C15" i="9"/>
  <c r="C29" i="9" s="1"/>
  <c r="K14" i="9"/>
  <c r="K13" i="9"/>
  <c r="D12" i="9"/>
  <c r="K19" i="10" l="1"/>
  <c r="K9" i="10"/>
  <c r="Q24" i="10"/>
  <c r="Q23" i="10"/>
  <c r="Q27" i="10"/>
  <c r="Q25" i="10"/>
  <c r="Q26" i="10"/>
  <c r="R25" i="10"/>
  <c r="R26" i="10"/>
  <c r="R24" i="10"/>
  <c r="R23" i="10"/>
  <c r="R27" i="10"/>
  <c r="R14" i="10"/>
  <c r="R18" i="10"/>
  <c r="R13" i="10"/>
  <c r="R17" i="10"/>
  <c r="E58" i="10"/>
  <c r="G58" i="10"/>
  <c r="J58" i="10"/>
  <c r="H58" i="10"/>
  <c r="D58" i="10"/>
  <c r="C58" i="10"/>
  <c r="F58" i="10"/>
  <c r="K33" i="10"/>
  <c r="C113" i="9"/>
  <c r="E113" i="9"/>
  <c r="E102" i="9" s="1"/>
  <c r="K12" i="10"/>
  <c r="K29" i="10"/>
  <c r="C57" i="10"/>
  <c r="K22" i="10"/>
  <c r="C43" i="9"/>
  <c r="C57" i="9"/>
  <c r="H113" i="9"/>
  <c r="H102" i="9" s="1"/>
  <c r="D41" i="9"/>
  <c r="C102" i="9"/>
  <c r="J113" i="9"/>
  <c r="J102" i="9" s="1"/>
  <c r="D42" i="9"/>
  <c r="G57" i="9"/>
  <c r="D57" i="9"/>
  <c r="H57" i="9"/>
  <c r="F113" i="9"/>
  <c r="F102" i="9" s="1"/>
  <c r="E19" i="9"/>
  <c r="K38" i="9"/>
  <c r="E57" i="9"/>
  <c r="J57" i="9"/>
  <c r="G113" i="9"/>
  <c r="G102" i="9" s="1"/>
  <c r="D113" i="9"/>
  <c r="D102" i="9" s="1"/>
  <c r="C26" i="9"/>
  <c r="F57" i="9"/>
  <c r="E41" i="9"/>
  <c r="D15" i="9"/>
  <c r="D29" i="9" s="1"/>
  <c r="E12" i="9"/>
  <c r="F35" i="9"/>
  <c r="C56" i="10" l="1"/>
  <c r="C28" i="10"/>
  <c r="Q13" i="10"/>
  <c r="Q17" i="10"/>
  <c r="Q14" i="10"/>
  <c r="Q18" i="10"/>
  <c r="Q10" i="10"/>
  <c r="Q11" i="10"/>
  <c r="Q12" i="10"/>
  <c r="Q20" i="10"/>
  <c r="R20" i="10"/>
  <c r="Q22" i="10"/>
  <c r="Q21" i="10"/>
  <c r="D43" i="9"/>
  <c r="E21" i="9"/>
  <c r="E26" i="9" s="1"/>
  <c r="F19" i="9"/>
  <c r="F12" i="9"/>
  <c r="E15" i="9"/>
  <c r="C28" i="9"/>
  <c r="D28" i="9"/>
  <c r="F42" i="9"/>
  <c r="F41" i="9"/>
  <c r="G35" i="9"/>
  <c r="E43" i="9"/>
  <c r="Q19" i="10" l="1"/>
  <c r="C31" i="10"/>
  <c r="Q9" i="10"/>
  <c r="R21" i="10"/>
  <c r="D28" i="10"/>
  <c r="D31" i="10" s="1"/>
  <c r="D57" i="10"/>
  <c r="R22" i="10"/>
  <c r="E28" i="9"/>
  <c r="E29" i="9"/>
  <c r="F21" i="9"/>
  <c r="F26" i="9" s="1"/>
  <c r="G19" i="9"/>
  <c r="D30" i="9"/>
  <c r="F43" i="9"/>
  <c r="F15" i="9"/>
  <c r="G12" i="9"/>
  <c r="C30" i="9"/>
  <c r="G42" i="9"/>
  <c r="G41" i="9"/>
  <c r="H35" i="9"/>
  <c r="R19" i="10" l="1"/>
  <c r="D56" i="10"/>
  <c r="R12" i="10"/>
  <c r="R11" i="10"/>
  <c r="E56" i="10"/>
  <c r="R10" i="10"/>
  <c r="E28" i="10"/>
  <c r="E30" i="9"/>
  <c r="G21" i="9"/>
  <c r="G26" i="9" s="1"/>
  <c r="H19" i="9"/>
  <c r="G43" i="9"/>
  <c r="G15" i="9"/>
  <c r="H12" i="9"/>
  <c r="F28" i="9"/>
  <c r="I35" i="9"/>
  <c r="J35" i="9" s="1"/>
  <c r="H41" i="9"/>
  <c r="H42" i="9"/>
  <c r="F29" i="9"/>
  <c r="F57" i="10" s="1"/>
  <c r="J42" i="9" l="1"/>
  <c r="J41" i="9"/>
  <c r="J43" i="9" s="1"/>
  <c r="R9" i="10"/>
  <c r="E31" i="10"/>
  <c r="F28" i="10"/>
  <c r="F31" i="10" s="1"/>
  <c r="F56" i="10"/>
  <c r="E57" i="10"/>
  <c r="G28" i="9"/>
  <c r="I19" i="9"/>
  <c r="H21" i="9"/>
  <c r="G29" i="9"/>
  <c r="G57" i="10" s="1"/>
  <c r="H43" i="9"/>
  <c r="I41" i="9"/>
  <c r="I42" i="9"/>
  <c r="K35" i="9"/>
  <c r="F30" i="9"/>
  <c r="H15" i="9"/>
  <c r="I12" i="9"/>
  <c r="I15" i="9" l="1"/>
  <c r="J12" i="9"/>
  <c r="I21" i="9"/>
  <c r="I26" i="9" s="1"/>
  <c r="J19" i="9"/>
  <c r="J21" i="9" s="1"/>
  <c r="J26" i="9" s="1"/>
  <c r="G28" i="10"/>
  <c r="K19" i="9"/>
  <c r="G56" i="10"/>
  <c r="H26" i="9"/>
  <c r="K26" i="9" s="1"/>
  <c r="I29" i="9"/>
  <c r="K12" i="9"/>
  <c r="I43" i="9"/>
  <c r="K43" i="9" s="1"/>
  <c r="K41" i="9"/>
  <c r="K11" i="10" s="1"/>
  <c r="K42" i="9"/>
  <c r="H29" i="9"/>
  <c r="H57" i="10" s="1"/>
  <c r="G30" i="9"/>
  <c r="J15" i="9" l="1"/>
  <c r="J28" i="9" s="1"/>
  <c r="J29" i="9"/>
  <c r="K21" i="9"/>
  <c r="G31" i="10"/>
  <c r="K21" i="10"/>
  <c r="H28" i="9"/>
  <c r="I28" i="9"/>
  <c r="K15" i="9"/>
  <c r="K29" i="9"/>
  <c r="J30" i="9" l="1"/>
  <c r="S12" i="10"/>
  <c r="S11" i="10"/>
  <c r="I57" i="10"/>
  <c r="K20" i="10"/>
  <c r="I28" i="10"/>
  <c r="I31" i="10" s="1"/>
  <c r="I56" i="10"/>
  <c r="H30" i="9"/>
  <c r="H28" i="10"/>
  <c r="J57" i="10"/>
  <c r="I30" i="9"/>
  <c r="K28" i="9"/>
  <c r="J28" i="10" s="1"/>
  <c r="J31" i="10" s="1"/>
  <c r="S9" i="10" l="1"/>
  <c r="H31" i="10"/>
  <c r="K31" i="10" s="1"/>
  <c r="K28" i="10"/>
  <c r="K30" i="9"/>
  <c r="H56" i="10"/>
  <c r="J56" i="10"/>
  <c r="D124" i="9" l="1"/>
  <c r="D122" i="9" s="1"/>
  <c r="D80" i="9"/>
  <c r="D78" i="9" s="1"/>
  <c r="D32" i="10" l="1"/>
  <c r="C124" i="9"/>
  <c r="C122" i="9" s="1"/>
  <c r="C80" i="9"/>
  <c r="C78" i="9" s="1"/>
  <c r="C32" i="10" s="1"/>
  <c r="Q33" i="10" l="1"/>
  <c r="C59" i="10"/>
  <c r="D59" i="10"/>
  <c r="C43" i="10"/>
  <c r="D43" i="10"/>
  <c r="G7" i="13" l="1"/>
  <c r="E10" i="15"/>
  <c r="E25" i="15" s="1"/>
  <c r="F10" i="15"/>
  <c r="F25" i="15" s="1"/>
  <c r="C45" i="10"/>
  <c r="E8" i="15" l="1"/>
  <c r="E170" i="6" s="1"/>
  <c r="F8" i="15"/>
  <c r="F170" i="6" s="1"/>
  <c r="C50" i="10"/>
  <c r="F19" i="15" l="1"/>
  <c r="F26" i="15"/>
  <c r="E9" i="15"/>
  <c r="F9" i="15" s="1"/>
  <c r="E19" i="15"/>
  <c r="E26" i="15"/>
  <c r="E27" i="15" s="1"/>
  <c r="E124" i="9"/>
  <c r="E122" i="9" s="1"/>
  <c r="E80" i="9"/>
  <c r="E78" i="9" s="1"/>
  <c r="F27" i="15" l="1"/>
  <c r="E32" i="10"/>
  <c r="F80" i="9"/>
  <c r="F78" i="9" s="1"/>
  <c r="F124" i="9"/>
  <c r="F122" i="9" s="1"/>
  <c r="E59" i="10" l="1"/>
  <c r="E43" i="10"/>
  <c r="F32" i="10"/>
  <c r="G124" i="9"/>
  <c r="G122" i="9" s="1"/>
  <c r="G80" i="9"/>
  <c r="G78" i="9" s="1"/>
  <c r="H7" i="13" l="1"/>
  <c r="G10" i="15"/>
  <c r="G25" i="15" s="1"/>
  <c r="F59" i="10"/>
  <c r="F43" i="10"/>
  <c r="G32" i="10"/>
  <c r="H124" i="9"/>
  <c r="H122" i="9" s="1"/>
  <c r="H80" i="9"/>
  <c r="H78" i="9" s="1"/>
  <c r="J124" i="9"/>
  <c r="J122" i="9" s="1"/>
  <c r="J80" i="9"/>
  <c r="J78" i="9" s="1"/>
  <c r="G8" i="15" l="1"/>
  <c r="G170" i="6" s="1"/>
  <c r="H10" i="15"/>
  <c r="H25" i="15" s="1"/>
  <c r="G59" i="10"/>
  <c r="G43" i="10"/>
  <c r="H32" i="10"/>
  <c r="J7" i="13" l="1"/>
  <c r="I10" i="15"/>
  <c r="I25" i="15" s="1"/>
  <c r="G19" i="15"/>
  <c r="G9" i="15"/>
  <c r="G26" i="15"/>
  <c r="G27" i="15" s="1"/>
  <c r="H8" i="15"/>
  <c r="H170" i="6" s="1"/>
  <c r="H59" i="10"/>
  <c r="H43" i="10"/>
  <c r="I32" i="10"/>
  <c r="K44" i="10"/>
  <c r="I8" i="15" l="1"/>
  <c r="I170" i="6" s="1"/>
  <c r="H19" i="15"/>
  <c r="H9" i="15"/>
  <c r="H26" i="15"/>
  <c r="H27" i="15" s="1"/>
  <c r="J10" i="15"/>
  <c r="J25" i="15" s="1"/>
  <c r="I59" i="10"/>
  <c r="I43" i="10"/>
  <c r="I19" i="15" l="1"/>
  <c r="I9" i="15"/>
  <c r="I26" i="15"/>
  <c r="I27" i="15" s="1"/>
  <c r="J8" i="15"/>
  <c r="J170" i="6" s="1"/>
  <c r="L7" i="13"/>
  <c r="K10" i="15"/>
  <c r="K25" i="15" s="1"/>
  <c r="I45" i="10"/>
  <c r="K8" i="15" l="1"/>
  <c r="J19" i="15"/>
  <c r="J9" i="15"/>
  <c r="J26" i="15"/>
  <c r="J27" i="15" s="1"/>
  <c r="K170" i="6" l="1"/>
  <c r="K19" i="15"/>
  <c r="K9" i="15"/>
  <c r="K26" i="15"/>
  <c r="K27" i="15" s="1"/>
  <c r="I50" i="10"/>
  <c r="I60" i="10" l="1"/>
  <c r="O16" i="6"/>
  <c r="I52" i="10" l="1"/>
  <c r="Q36" i="10" l="1"/>
  <c r="Q38" i="10"/>
  <c r="Q39" i="10"/>
  <c r="Q37" i="10"/>
  <c r="Q35" i="10"/>
  <c r="Q34" i="10"/>
  <c r="Q32" i="10" l="1"/>
  <c r="G8" i="13" l="1"/>
  <c r="C60" i="10"/>
  <c r="C52" i="10" l="1"/>
  <c r="R35" i="10"/>
  <c r="R39" i="10"/>
  <c r="R33" i="10"/>
  <c r="R37" i="10"/>
  <c r="R36" i="10"/>
  <c r="R38" i="10"/>
  <c r="R34" i="10"/>
  <c r="G45" i="10"/>
  <c r="G50" i="10" s="1"/>
  <c r="F45" i="10"/>
  <c r="F50" i="10" s="1"/>
  <c r="R32" i="10" l="1"/>
  <c r="C53" i="10"/>
  <c r="H45" i="10"/>
  <c r="D45" i="10"/>
  <c r="E45" i="10"/>
  <c r="F60" i="10"/>
  <c r="G60" i="10"/>
  <c r="H60" i="10" l="1"/>
  <c r="H50" i="10"/>
  <c r="H52" i="10" s="1"/>
  <c r="E50" i="10"/>
  <c r="E52" i="10" s="1"/>
  <c r="D60" i="10"/>
  <c r="D50" i="10"/>
  <c r="D52" i="10" s="1"/>
  <c r="F52" i="10"/>
  <c r="E60" i="10"/>
  <c r="G52" i="10"/>
  <c r="K51" i="10"/>
  <c r="D53" i="10" l="1"/>
  <c r="E53" i="10" s="1"/>
  <c r="F53" i="10" s="1"/>
  <c r="G53" i="10" s="1"/>
  <c r="H53" i="10" s="1"/>
  <c r="I53" i="10" l="1"/>
  <c r="K46" i="10" l="1"/>
  <c r="N25" i="1" l="1"/>
  <c r="L26" i="1"/>
  <c r="O25" i="1" l="1"/>
  <c r="Q25" i="1" s="1"/>
  <c r="R25" i="1" s="1"/>
  <c r="S25" i="1" s="1"/>
  <c r="O26" i="1"/>
  <c r="L25" i="1"/>
  <c r="L34" i="1" s="1"/>
  <c r="O34" i="1" l="1"/>
  <c r="Q26" i="1"/>
  <c r="R26" i="1" s="1"/>
  <c r="S26" i="1" s="1"/>
  <c r="T26" i="1" s="1"/>
  <c r="T25" i="1"/>
  <c r="S34" i="1" l="1"/>
  <c r="U26" i="1"/>
  <c r="V26" i="1"/>
  <c r="D30" i="6"/>
  <c r="L30" i="6" s="1"/>
  <c r="T34" i="1"/>
  <c r="D15" i="6"/>
  <c r="L15" i="6" s="1"/>
  <c r="U25" i="1"/>
  <c r="V25" i="1"/>
  <c r="V34" i="1" l="1"/>
  <c r="N15" i="6"/>
  <c r="O15" i="6"/>
  <c r="O14" i="6" s="1"/>
  <c r="M15" i="6"/>
  <c r="L14" i="6"/>
  <c r="L167" i="6"/>
  <c r="L29" i="6"/>
  <c r="O30" i="6"/>
  <c r="O29" i="6" s="1"/>
  <c r="N30" i="6"/>
  <c r="M30" i="6"/>
  <c r="D167" i="6" l="1"/>
  <c r="L169" i="6"/>
  <c r="L41" i="6"/>
  <c r="D41" i="6" s="1"/>
  <c r="N29" i="6"/>
  <c r="L172" i="6"/>
  <c r="D172" i="6" s="1"/>
  <c r="L26" i="6"/>
  <c r="N14" i="6"/>
  <c r="L17" i="15"/>
  <c r="L14" i="15" s="1"/>
  <c r="L15" i="15" s="1"/>
  <c r="D26" i="6" l="1"/>
  <c r="L174" i="6"/>
  <c r="D169" i="6"/>
  <c r="L22" i="15"/>
  <c r="L20" i="15" s="1"/>
  <c r="L21" i="15" l="1"/>
  <c r="D174" i="6"/>
  <c r="J34" i="10"/>
  <c r="J32" i="10" l="1"/>
  <c r="S34" i="10" s="1"/>
  <c r="K34" i="10"/>
  <c r="S33" i="10" l="1"/>
  <c r="S35" i="10"/>
  <c r="S39" i="10"/>
  <c r="K32" i="10"/>
  <c r="S38" i="10"/>
  <c r="S36" i="10"/>
  <c r="J59" i="10"/>
  <c r="J60" i="10" s="1"/>
  <c r="J43" i="10"/>
  <c r="S37" i="10"/>
  <c r="K43" i="10" l="1"/>
  <c r="J45" i="10"/>
  <c r="L10" i="15"/>
  <c r="S32" i="10"/>
  <c r="L8" i="15" l="1"/>
  <c r="L25" i="15"/>
  <c r="K45" i="10"/>
  <c r="J50" i="10"/>
  <c r="K50" i="10" l="1"/>
  <c r="J52" i="10"/>
  <c r="L170" i="6"/>
  <c r="L19" i="15"/>
  <c r="L9" i="15"/>
  <c r="L26" i="15"/>
  <c r="L27" i="15" s="1"/>
  <c r="J53" i="10" l="1"/>
  <c r="K5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B15" authorId="0" shapeId="0" xr:uid="{00000000-0006-0000-0200-000001000000}">
      <text>
        <r>
          <rPr>
            <sz val="14"/>
            <color indexed="81"/>
            <rFont val="Segoe UI"/>
            <family val="2"/>
          </rPr>
          <t>20 % des frais donnant droit à une contribution sont versés après le décompte final</t>
        </r>
      </text>
    </comment>
    <comment ref="B30" authorId="0" shapeId="0" xr:uid="{00000000-0006-0000-0200-000002000000}">
      <text>
        <r>
          <rPr>
            <sz val="14"/>
            <color indexed="81"/>
            <rFont val="Segoe UI"/>
            <family val="2"/>
          </rPr>
          <t>20 % des frais donnant droit à une contribution sont versés après le décompte final</t>
        </r>
        <r>
          <rPr>
            <sz val="9"/>
            <color indexed="81"/>
            <rFont val="Segoe UI"/>
            <family val="2"/>
          </rPr>
          <t xml:space="preserve">
</t>
        </r>
      </text>
    </comment>
    <comment ref="B45" authorId="0" shapeId="0" xr:uid="{00000000-0006-0000-0200-000003000000}">
      <text>
        <r>
          <rPr>
            <sz val="14"/>
            <color indexed="81"/>
            <rFont val="Segoe UI"/>
            <family val="2"/>
          </rPr>
          <t>20 % des frais donnant droit à une contribution sont versés après le décompte final</t>
        </r>
      </text>
    </comment>
    <comment ref="B60" authorId="0" shapeId="0" xr:uid="{00000000-0006-0000-0200-000004000000}">
      <text>
        <r>
          <rPr>
            <sz val="14"/>
            <color indexed="81"/>
            <rFont val="Segoe UI"/>
            <family val="2"/>
          </rPr>
          <t>20 % des frais donnant droit à une contribution sont versés après le décompte final</t>
        </r>
      </text>
    </comment>
    <comment ref="B75" authorId="0" shapeId="0" xr:uid="{00000000-0006-0000-0200-000005000000}">
      <text>
        <r>
          <rPr>
            <sz val="14"/>
            <color indexed="81"/>
            <rFont val="Segoe UI"/>
            <family val="2"/>
          </rPr>
          <t>20 % des frais donnant droit à une contribution sont versés après le décompte final</t>
        </r>
        <r>
          <rPr>
            <sz val="9"/>
            <color indexed="81"/>
            <rFont val="Segoe UI"/>
            <family val="2"/>
          </rPr>
          <t xml:space="preserve">
</t>
        </r>
      </text>
    </comment>
    <comment ref="B90" authorId="0" shapeId="0" xr:uid="{00000000-0006-0000-0200-000006000000}">
      <text>
        <r>
          <rPr>
            <sz val="14"/>
            <color indexed="81"/>
            <rFont val="Segoe UI"/>
            <family val="2"/>
          </rPr>
          <t>20 % des frais donnant droit à une contribution sont versés après le décompte final</t>
        </r>
      </text>
    </comment>
    <comment ref="B105" authorId="0" shapeId="0" xr:uid="{00000000-0006-0000-0200-000007000000}">
      <text>
        <r>
          <rPr>
            <sz val="14"/>
            <color indexed="81"/>
            <rFont val="Segoe UI"/>
            <family val="2"/>
          </rPr>
          <t>20 % des frais donnant droit à une contribution sont versés après le décompte final</t>
        </r>
      </text>
    </comment>
    <comment ref="B120" authorId="0" shapeId="0" xr:uid="{00000000-0006-0000-0200-000008000000}">
      <text>
        <r>
          <rPr>
            <sz val="14"/>
            <color indexed="81"/>
            <rFont val="Segoe UI"/>
            <family val="2"/>
          </rPr>
          <t>20 % des frais donnant droit à une contribution sont versés après le décompte final</t>
        </r>
      </text>
    </comment>
    <comment ref="B135" authorId="0" shapeId="0" xr:uid="{00000000-0006-0000-0200-000009000000}">
      <text>
        <r>
          <rPr>
            <sz val="14"/>
            <color indexed="81"/>
            <rFont val="Segoe UI"/>
            <family val="2"/>
          </rPr>
          <t>20 % des frais donnant droit à une contribution sont versés après le décompte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E5" authorId="0" shapeId="0" xr:uid="{00000000-0006-0000-0400-000001000000}">
      <text>
        <r>
          <rPr>
            <sz val="10"/>
            <color indexed="81"/>
            <rFont val="Segoe UI"/>
            <family val="2"/>
          </rPr>
          <t>pas en % car cela ne peut être lu par l'outil d'analyse de l'OFAG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A28" authorId="0" shapeId="0" xr:uid="{00000000-0006-0000-0500-000001000000}">
      <text>
        <r>
          <rPr>
            <b/>
            <sz val="9"/>
            <color indexed="81"/>
            <rFont val="Segoe UI"/>
            <family val="2"/>
          </rPr>
          <t>Beerli Anna OFAG:</t>
        </r>
        <r>
          <rPr>
            <sz val="9"/>
            <color indexed="81"/>
            <rFont val="Segoe UI"/>
            <family val="2"/>
          </rPr>
          <t xml:space="preserve">
</t>
        </r>
        <r>
          <rPr>
            <sz val="9"/>
            <color indexed="81"/>
            <rFont val="Segoe UI"/>
            <family val="2"/>
          </rPr>
          <t>= volume de vente * prix de vente</t>
        </r>
      </text>
    </comment>
    <comment ref="A29" authorId="0" shapeId="0" xr:uid="{00000000-0006-0000-0500-000002000000}">
      <text>
        <r>
          <rPr>
            <b/>
            <sz val="9"/>
            <color indexed="81"/>
            <rFont val="Segoe UI"/>
            <family val="2"/>
          </rPr>
          <t>Beerli Anna OFAG:</t>
        </r>
        <r>
          <rPr>
            <sz val="9"/>
            <color indexed="81"/>
            <rFont val="Segoe UI"/>
            <family val="2"/>
          </rPr>
          <t xml:space="preserve">
</t>
        </r>
        <r>
          <rPr>
            <sz val="9"/>
            <color indexed="81"/>
            <rFont val="Segoe UI"/>
            <family val="2"/>
          </rPr>
          <t>p. ex. =(quantité achetée* prix d</t>
        </r>
        <r>
          <rPr>
            <sz val="9"/>
            <color indexed="81"/>
            <rFont val="Segoe UI"/>
            <family val="2"/>
          </rPr>
          <t xml:space="preserve">'achat)+(quantité vendue*autres coûts de production)
</t>
        </r>
      </text>
    </comment>
    <comment ref="A41" authorId="0" shapeId="0" xr:uid="{00000000-0006-0000-0500-000003000000}">
      <text>
        <r>
          <rPr>
            <b/>
            <sz val="9"/>
            <color indexed="81"/>
            <rFont val="Segoe UI"/>
            <family val="2"/>
          </rPr>
          <t>Beerli Anna OFAG:</t>
        </r>
        <r>
          <rPr>
            <sz val="9"/>
            <color indexed="81"/>
            <rFont val="Segoe UI"/>
            <family val="2"/>
          </rPr>
          <t xml:space="preserve">
</t>
        </r>
        <r>
          <rPr>
            <sz val="9"/>
            <color indexed="81"/>
            <rFont val="Segoe UI"/>
            <family val="2"/>
          </rPr>
          <t>= volume de vente * prix de vente</t>
        </r>
      </text>
    </comment>
    <comment ref="A42" authorId="0" shapeId="0" xr:uid="{00000000-0006-0000-0500-000004000000}">
      <text>
        <r>
          <rPr>
            <b/>
            <sz val="9"/>
            <color indexed="81"/>
            <rFont val="Segoe UI"/>
            <family val="2"/>
          </rPr>
          <t>Beerli Anna OFAG:</t>
        </r>
        <r>
          <rPr>
            <sz val="9"/>
            <color indexed="81"/>
            <rFont val="Segoe UI"/>
            <family val="2"/>
          </rPr>
          <t xml:space="preserve">
</t>
        </r>
        <r>
          <rPr>
            <sz val="9"/>
            <color indexed="81"/>
            <rFont val="Segoe UI"/>
            <family val="2"/>
          </rPr>
          <t>p. ex. =(quantité achetée* prix d</t>
        </r>
        <r>
          <rPr>
            <sz val="9"/>
            <color indexed="81"/>
            <rFont val="Segoe UI"/>
            <family val="2"/>
          </rPr>
          <t xml:space="preserve">'achat)+(quantité vendue*autres coûts de production)
</t>
        </r>
      </text>
    </comment>
    <comment ref="A55" authorId="0" shapeId="0" xr:uid="{00000000-0006-0000-0500-000005000000}">
      <text>
        <r>
          <rPr>
            <b/>
            <sz val="9"/>
            <color indexed="81"/>
            <rFont val="Segoe UI"/>
            <family val="2"/>
          </rPr>
          <t>Beerli Anna OFAG:</t>
        </r>
        <r>
          <rPr>
            <sz val="9"/>
            <color indexed="81"/>
            <rFont val="Segoe UI"/>
            <family val="2"/>
          </rPr>
          <t xml:space="preserve">
</t>
        </r>
        <r>
          <rPr>
            <sz val="9"/>
            <color indexed="81"/>
            <rFont val="Segoe UI"/>
            <family val="2"/>
          </rPr>
          <t>= volume de vente * prix de vente</t>
        </r>
      </text>
    </comment>
    <comment ref="A56" authorId="0" shapeId="0" xr:uid="{00000000-0006-0000-0500-000006000000}">
      <text>
        <r>
          <rPr>
            <b/>
            <sz val="9"/>
            <color indexed="81"/>
            <rFont val="Segoe UI"/>
            <family val="2"/>
          </rPr>
          <t>Beerli Anna OFAG:</t>
        </r>
        <r>
          <rPr>
            <sz val="9"/>
            <color indexed="81"/>
            <rFont val="Segoe UI"/>
            <family val="2"/>
          </rPr>
          <t xml:space="preserve">
</t>
        </r>
        <r>
          <rPr>
            <sz val="9"/>
            <color indexed="81"/>
            <rFont val="Segoe UI"/>
            <family val="2"/>
          </rPr>
          <t>p. ex. =(quantité achetée* prix d</t>
        </r>
        <r>
          <rPr>
            <sz val="9"/>
            <color indexed="81"/>
            <rFont val="Segoe UI"/>
            <family val="2"/>
          </rPr>
          <t xml:space="preserve">'achat)+(quantité vendue*autres coûts de production)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B17" authorId="0" shapeId="0" xr:uid="{00000000-0006-0000-0600-000001000000}">
      <text>
        <r>
          <rPr>
            <b/>
            <sz val="9"/>
            <color indexed="81"/>
            <rFont val="Segoe UI"/>
            <family val="2"/>
          </rPr>
          <t>Beerli Anna OFAG:</t>
        </r>
        <r>
          <rPr>
            <sz val="9"/>
            <color indexed="81"/>
            <rFont val="Segoe UI"/>
            <family val="2"/>
          </rPr>
          <t xml:space="preserve">
</t>
        </r>
        <r>
          <rPr>
            <sz val="9"/>
            <color indexed="81"/>
            <rFont val="Segoe UI"/>
            <family val="2"/>
          </rPr>
          <t>Alpage :aussi si individuel</t>
        </r>
      </text>
    </comment>
  </commentList>
</comments>
</file>

<file path=xl/sharedStrings.xml><?xml version="1.0" encoding="utf-8"?>
<sst xmlns="http://schemas.openxmlformats.org/spreadsheetml/2006/main" count="686" uniqueCount="504">
  <si>
    <r>
      <rPr>
        <b/>
        <sz val="11"/>
        <rFont val="Arial Narrow"/>
        <family val="2"/>
      </rPr>
      <t>Nom du projet partiel (PP)</t>
    </r>
  </si>
  <si>
    <r>
      <rPr>
        <b/>
        <sz val="11"/>
        <rFont val="Arial Narrow"/>
        <family val="2"/>
      </rPr>
      <t>Date</t>
    </r>
  </si>
  <si>
    <r>
      <rPr>
        <b/>
        <sz val="11"/>
        <rFont val="Arial Narrow"/>
        <family val="2"/>
      </rPr>
      <t>Unité d</t>
    </r>
    <r>
      <rPr>
        <b/>
        <sz val="11"/>
        <rFont val="Arial Narrow"/>
        <family val="2"/>
      </rPr>
      <t>'observation de la planification financière</t>
    </r>
  </si>
  <si>
    <r>
      <rPr>
        <sz val="10"/>
        <rFont val="Arial Narrow"/>
        <family val="2"/>
      </rPr>
      <t>p. ex. exploitation dans son intégralité ou seulement branche de production xy</t>
    </r>
  </si>
  <si>
    <r>
      <rPr>
        <b/>
        <sz val="12"/>
        <rFont val="Arial Narrow"/>
        <family val="2"/>
      </rPr>
      <t>Recettes et coûts imputables</t>
    </r>
  </si>
  <si>
    <r>
      <rPr>
        <b/>
        <sz val="10"/>
        <rFont val="Arial Narrow"/>
        <family val="2"/>
      </rPr>
      <t>Produit 1 - exemple: production agricole, transformation et élaboration</t>
    </r>
  </si>
  <si>
    <r>
      <rPr>
        <b/>
        <sz val="10"/>
        <rFont val="Arial Narrow"/>
        <family val="2"/>
      </rPr>
      <t>Unité</t>
    </r>
  </si>
  <si>
    <r>
      <rPr>
        <b/>
        <sz val="11"/>
        <color theme="1"/>
        <rFont val="Arial Narrow"/>
        <family val="2"/>
      </rPr>
      <t>Total</t>
    </r>
  </si>
  <si>
    <r>
      <rPr>
        <b/>
        <sz val="10"/>
        <rFont val="Arial Narrow"/>
        <family val="2"/>
      </rPr>
      <t>Explication des hypothèses</t>
    </r>
  </si>
  <si>
    <r>
      <rPr>
        <b/>
        <sz val="10"/>
        <rFont val="Arial Narrow"/>
        <family val="2"/>
      </rPr>
      <t>Quantités</t>
    </r>
  </si>
  <si>
    <r>
      <rPr>
        <sz val="10"/>
        <rFont val="Arial Narrow"/>
        <family val="2"/>
      </rPr>
      <t>Volume des achats</t>
    </r>
  </si>
  <si>
    <r>
      <rPr>
        <sz val="10"/>
        <rFont val="Arial Narrow"/>
        <family val="2"/>
      </rPr>
      <t>p. ex. kg de lait</t>
    </r>
  </si>
  <si>
    <r>
      <rPr>
        <i/>
        <sz val="9"/>
        <rFont val="Arial Narrow"/>
        <family val="2"/>
      </rPr>
      <t>Variation annuelle du volume d</t>
    </r>
    <r>
      <rPr>
        <i/>
        <sz val="9"/>
        <rFont val="Arial Narrow"/>
        <family val="2"/>
      </rPr>
      <t>'achat par rapport à l</t>
    </r>
    <r>
      <rPr>
        <i/>
        <sz val="9"/>
        <rFont val="Arial Narrow"/>
        <family val="2"/>
      </rPr>
      <t>'année précédente</t>
    </r>
  </si>
  <si>
    <r>
      <rPr>
        <i/>
        <sz val="9"/>
        <rFont val="Arial Narrow"/>
        <family val="2"/>
      </rPr>
      <t>%</t>
    </r>
  </si>
  <si>
    <r>
      <rPr>
        <i/>
        <sz val="9"/>
        <rFont val="Arial Narrow"/>
        <family val="2"/>
      </rPr>
      <t>Augmentation grâce à une capacité de transformation plus élevée</t>
    </r>
  </si>
  <si>
    <r>
      <rPr>
        <i/>
        <sz val="9"/>
        <rFont val="Arial Narrow"/>
        <family val="2"/>
      </rPr>
      <t>Facteur de conversion</t>
    </r>
  </si>
  <si>
    <r>
      <rPr>
        <i/>
        <sz val="9"/>
        <rFont val="Arial Narrow"/>
        <family val="2"/>
      </rPr>
      <t>[ 1 ]</t>
    </r>
  </si>
  <si>
    <r>
      <rPr>
        <sz val="10"/>
        <rFont val="Arial Narrow"/>
        <family val="2"/>
      </rPr>
      <t>Volume des ventes</t>
    </r>
  </si>
  <si>
    <r>
      <rPr>
        <sz val="10"/>
        <rFont val="Arial Narrow"/>
        <family val="2"/>
      </rPr>
      <t>p. ex. kg de fromage</t>
    </r>
  </si>
  <si>
    <r>
      <rPr>
        <b/>
        <sz val="10"/>
        <rFont val="Arial Narrow"/>
        <family val="2"/>
      </rPr>
      <t>Formation des prix</t>
    </r>
  </si>
  <si>
    <r>
      <rPr>
        <sz val="10"/>
        <rFont val="Arial Narrow"/>
        <family val="2"/>
      </rPr>
      <t>Coûts de production dans l</t>
    </r>
    <r>
      <rPr>
        <sz val="10"/>
        <rFont val="Arial Narrow"/>
        <family val="2"/>
      </rPr>
      <t>'agriculture</t>
    </r>
  </si>
  <si>
    <r>
      <rPr>
        <sz val="10"/>
        <rFont val="Arial Narrow"/>
        <family val="2"/>
      </rPr>
      <t>p. ex. CHF / kg de lait</t>
    </r>
  </si>
  <si>
    <r>
      <rPr>
        <sz val="10"/>
        <rFont val="Arial Narrow"/>
        <family val="2"/>
      </rPr>
      <t>Prix d</t>
    </r>
    <r>
      <rPr>
        <sz val="10"/>
        <rFont val="Arial Narrow"/>
        <family val="2"/>
      </rPr>
      <t>'achat PP / unité d</t>
    </r>
    <r>
      <rPr>
        <sz val="10"/>
        <rFont val="Arial Narrow"/>
        <family val="2"/>
      </rPr>
      <t>'achat</t>
    </r>
  </si>
  <si>
    <r>
      <rPr>
        <sz val="10"/>
        <rFont val="Arial Narrow"/>
        <family val="2"/>
      </rPr>
      <t>p. ex. CHF / kg de lait</t>
    </r>
  </si>
  <si>
    <r>
      <rPr>
        <i/>
        <sz val="9"/>
        <rFont val="Arial Narrow"/>
        <family val="2"/>
      </rPr>
      <t>Variation annuelle du prix d</t>
    </r>
    <r>
      <rPr>
        <i/>
        <sz val="9"/>
        <rFont val="Arial Narrow"/>
        <family val="2"/>
      </rPr>
      <t>'achat par rapport à l</t>
    </r>
    <r>
      <rPr>
        <i/>
        <sz val="9"/>
        <rFont val="Arial Narrow"/>
        <family val="2"/>
      </rPr>
      <t>'année précédente</t>
    </r>
  </si>
  <si>
    <r>
      <rPr>
        <i/>
        <sz val="9"/>
        <rFont val="Arial Narrow"/>
        <family val="2"/>
      </rPr>
      <t>%</t>
    </r>
  </si>
  <si>
    <r>
      <rPr>
        <sz val="10"/>
        <rFont val="Arial Narrow"/>
        <family val="2"/>
      </rPr>
      <t>Prix d</t>
    </r>
    <r>
      <rPr>
        <sz val="10"/>
        <rFont val="Arial Narrow"/>
        <family val="2"/>
      </rPr>
      <t>'achat PP dans l</t>
    </r>
    <r>
      <rPr>
        <sz val="10"/>
        <rFont val="Arial Narrow"/>
        <family val="2"/>
      </rPr>
      <t>'unité de vente</t>
    </r>
  </si>
  <si>
    <r>
      <rPr>
        <sz val="10"/>
        <rFont val="Arial Narrow"/>
        <family val="2"/>
      </rPr>
      <t>p. ex. CHF / kg de fromage</t>
    </r>
  </si>
  <si>
    <r>
      <rPr>
        <b/>
        <sz val="10"/>
        <rFont val="Arial Narrow"/>
        <family val="2"/>
      </rPr>
      <t>autres coûts de production variables directs pour le PP</t>
    </r>
  </si>
  <si>
    <r>
      <rPr>
        <sz val="10"/>
        <rFont val="Arial Narrow"/>
        <family val="2"/>
      </rPr>
      <t>p. ex. CHF / kg de fromage</t>
    </r>
  </si>
  <si>
    <r>
      <rPr>
        <b/>
        <sz val="10"/>
        <rFont val="Arial Narrow"/>
        <family val="2"/>
      </rPr>
      <t>Marge du porteur de projet partiel</t>
    </r>
  </si>
  <si>
    <r>
      <rPr>
        <sz val="10"/>
        <rFont val="Arial Narrow"/>
        <family val="2"/>
      </rPr>
      <t>%</t>
    </r>
  </si>
  <si>
    <r>
      <rPr>
        <b/>
        <sz val="10"/>
        <rFont val="Arial Narrow"/>
        <family val="2"/>
      </rPr>
      <t>Prix de vente</t>
    </r>
  </si>
  <si>
    <r>
      <rPr>
        <sz val="10"/>
        <rFont val="Arial Narrow"/>
        <family val="2"/>
      </rPr>
      <t>p. ex. CHF / kg de fromage</t>
    </r>
  </si>
  <si>
    <r>
      <rPr>
        <b/>
        <sz val="10"/>
        <rFont val="Arial Narrow"/>
        <family val="2"/>
      </rPr>
      <t>Rendement</t>
    </r>
  </si>
  <si>
    <r>
      <rPr>
        <sz val="10"/>
        <rFont val="Arial Narrow"/>
        <family val="2"/>
      </rPr>
      <t>CHF</t>
    </r>
  </si>
  <si>
    <r>
      <rPr>
        <sz val="10"/>
        <color rgb="FFFF0000"/>
        <rFont val="Arial Narrow"/>
        <family val="2"/>
      </rPr>
      <t>reprendre dans le compte des résultats</t>
    </r>
  </si>
  <si>
    <r>
      <rPr>
        <b/>
        <sz val="10"/>
        <rFont val="Arial Narrow"/>
        <family val="2"/>
      </rPr>
      <t>Charges directes</t>
    </r>
  </si>
  <si>
    <r>
      <rPr>
        <sz val="10"/>
        <rFont val="Arial Narrow"/>
        <family val="2"/>
      </rPr>
      <t>CHF</t>
    </r>
  </si>
  <si>
    <r>
      <rPr>
        <sz val="10"/>
        <color rgb="FFFF0000"/>
        <rFont val="Arial Narrow"/>
        <family val="2"/>
      </rPr>
      <t>reprendre dans le compte des résultats</t>
    </r>
  </si>
  <si>
    <r>
      <rPr>
        <b/>
        <sz val="10"/>
        <rFont val="Arial Narrow"/>
        <family val="2"/>
      </rPr>
      <t>Marge brute produit 1</t>
    </r>
  </si>
  <si>
    <r>
      <rPr>
        <sz val="10"/>
        <rFont val="Arial Narrow"/>
        <family val="2"/>
      </rPr>
      <t>CHF</t>
    </r>
  </si>
  <si>
    <r>
      <rPr>
        <b/>
        <sz val="10"/>
        <rFont val="Arial Narrow"/>
        <family val="2"/>
      </rPr>
      <t>Produit 2 - exemple: offres agritouristiques</t>
    </r>
  </si>
  <si>
    <r>
      <rPr>
        <b/>
        <sz val="10"/>
        <rFont val="Arial Narrow"/>
        <family val="2"/>
      </rPr>
      <t>Unité</t>
    </r>
  </si>
  <si>
    <r>
      <rPr>
        <b/>
        <sz val="11"/>
        <color theme="1"/>
        <rFont val="Arial Narrow"/>
        <family val="2"/>
      </rPr>
      <t>Total</t>
    </r>
  </si>
  <si>
    <r>
      <rPr>
        <b/>
        <sz val="10"/>
        <rFont val="Arial Narrow"/>
        <family val="2"/>
      </rPr>
      <t>Explication des hypothèses</t>
    </r>
  </si>
  <si>
    <r>
      <rPr>
        <b/>
        <sz val="10"/>
        <rFont val="Arial Narrow"/>
        <family val="2"/>
      </rPr>
      <t>Offre 1 p. ex. hébergement</t>
    </r>
  </si>
  <si>
    <r>
      <rPr>
        <sz val="10"/>
        <rFont val="Arial Narrow"/>
        <family val="2"/>
      </rPr>
      <t>Offre 1 p. ex. hébergement</t>
    </r>
  </si>
  <si>
    <r>
      <rPr>
        <sz val="10"/>
        <rFont val="Arial Narrow"/>
        <family val="2"/>
      </rPr>
      <t>Unité d</t>
    </r>
    <r>
      <rPr>
        <sz val="10"/>
        <rFont val="Arial Narrow"/>
        <family val="2"/>
      </rPr>
      <t>'offre (nuits / années)</t>
    </r>
  </si>
  <si>
    <r>
      <rPr>
        <i/>
        <sz val="9"/>
        <rFont val="Arial Narrow"/>
        <family val="2"/>
      </rPr>
      <t>Augmentation annuelle</t>
    </r>
  </si>
  <si>
    <r>
      <rPr>
        <i/>
        <sz val="9"/>
        <rFont val="Arial Narrow"/>
        <family val="2"/>
      </rPr>
      <t>%</t>
    </r>
  </si>
  <si>
    <r>
      <rPr>
        <sz val="10"/>
        <rFont val="Arial Narrow"/>
        <family val="2"/>
      </rPr>
      <t>Coûts variables pour l</t>
    </r>
    <r>
      <rPr>
        <sz val="10"/>
        <rFont val="Arial Narrow"/>
        <family val="2"/>
      </rPr>
      <t>'offre</t>
    </r>
  </si>
  <si>
    <r>
      <rPr>
        <sz val="10"/>
        <rFont val="Arial Narrow"/>
        <family val="2"/>
      </rPr>
      <t>CHF / unité d</t>
    </r>
    <r>
      <rPr>
        <sz val="10"/>
        <rFont val="Arial Narrow"/>
        <family val="2"/>
      </rPr>
      <t>'offre</t>
    </r>
  </si>
  <si>
    <r>
      <rPr>
        <sz val="10"/>
        <rFont val="Arial Narrow"/>
        <family val="2"/>
      </rPr>
      <t>Prix de vente</t>
    </r>
  </si>
  <si>
    <r>
      <rPr>
        <sz val="10"/>
        <rFont val="Arial Narrow"/>
        <family val="2"/>
      </rPr>
      <t>CHF / unité d</t>
    </r>
    <r>
      <rPr>
        <sz val="10"/>
        <rFont val="Arial Narrow"/>
        <family val="2"/>
      </rPr>
      <t>'offre</t>
    </r>
  </si>
  <si>
    <r>
      <rPr>
        <sz val="10"/>
        <rFont val="Arial Narrow"/>
        <family val="2"/>
      </rPr>
      <t>Marge</t>
    </r>
  </si>
  <si>
    <r>
      <rPr>
        <sz val="10"/>
        <rFont val="Arial Narrow"/>
        <family val="2"/>
      </rPr>
      <t>%</t>
    </r>
  </si>
  <si>
    <r>
      <rPr>
        <b/>
        <sz val="10"/>
        <rFont val="Arial Narrow"/>
        <family val="2"/>
      </rPr>
      <t>Rendement</t>
    </r>
  </si>
  <si>
    <r>
      <rPr>
        <sz val="10"/>
        <color rgb="FFFF0000"/>
        <rFont val="Arial Narrow"/>
        <family val="2"/>
      </rPr>
      <t>reprendre dans le compte des résultats</t>
    </r>
  </si>
  <si>
    <r>
      <rPr>
        <b/>
        <sz val="10"/>
        <rFont val="Arial Narrow"/>
        <family val="2"/>
      </rPr>
      <t>Charges directes</t>
    </r>
  </si>
  <si>
    <r>
      <rPr>
        <sz val="10"/>
        <color rgb="FFFF0000"/>
        <rFont val="Arial Narrow"/>
        <family val="2"/>
      </rPr>
      <t>reprendre dans le compte des résultats</t>
    </r>
  </si>
  <si>
    <r>
      <rPr>
        <b/>
        <sz val="10"/>
        <rFont val="Arial Narrow"/>
        <family val="2"/>
      </rPr>
      <t>Marge brute produit 2</t>
    </r>
  </si>
  <si>
    <r>
      <rPr>
        <sz val="10"/>
        <rFont val="Arial Narrow"/>
        <family val="2"/>
      </rPr>
      <t>CHF</t>
    </r>
  </si>
  <si>
    <r>
      <rPr>
        <b/>
        <sz val="10"/>
        <rFont val="Arial Narrow"/>
        <family val="2"/>
      </rPr>
      <t>Produit 3 - exemple: projets non axé sur un produit</t>
    </r>
  </si>
  <si>
    <r>
      <rPr>
        <b/>
        <sz val="10"/>
        <rFont val="Arial Narrow"/>
        <family val="2"/>
      </rPr>
      <t>Unité</t>
    </r>
  </si>
  <si>
    <r>
      <rPr>
        <b/>
        <sz val="11"/>
        <color theme="1"/>
        <rFont val="Arial Narrow"/>
        <family val="2"/>
      </rPr>
      <t>Total</t>
    </r>
  </si>
  <si>
    <r>
      <rPr>
        <b/>
        <sz val="10"/>
        <rFont val="Arial Narrow"/>
        <family val="2"/>
      </rPr>
      <t>Explication des hypothèses</t>
    </r>
  </si>
  <si>
    <r>
      <rPr>
        <b/>
        <sz val="10"/>
        <rFont val="Arial Narrow"/>
        <family val="2"/>
      </rPr>
      <t>Offre 3 p. ex. communication commune du PDR (marketing)</t>
    </r>
  </si>
  <si>
    <r>
      <rPr>
        <sz val="10"/>
        <rFont val="Arial Narrow"/>
        <family val="2"/>
      </rPr>
      <t>Coûts pour la communication via les réseaux sociaux</t>
    </r>
  </si>
  <si>
    <r>
      <rPr>
        <sz val="10"/>
        <rFont val="Arial Narrow"/>
        <family val="2"/>
      </rPr>
      <t>CHF/année</t>
    </r>
  </si>
  <si>
    <r>
      <rPr>
        <i/>
        <sz val="9"/>
        <rFont val="Arial Narrow"/>
        <family val="2"/>
      </rPr>
      <t>Augmentation annuelle</t>
    </r>
  </si>
  <si>
    <r>
      <rPr>
        <i/>
        <sz val="9"/>
        <rFont val="Arial Narrow"/>
        <family val="2"/>
      </rPr>
      <t>%</t>
    </r>
  </si>
  <si>
    <r>
      <rPr>
        <sz val="10"/>
        <rFont val="Arial Narrow"/>
        <family val="2"/>
      </rPr>
      <t>Coûts variables pour l</t>
    </r>
    <r>
      <rPr>
        <sz val="10"/>
        <rFont val="Arial Narrow"/>
        <family val="2"/>
      </rPr>
      <t>'offre</t>
    </r>
  </si>
  <si>
    <r>
      <rPr>
        <sz val="10"/>
        <rFont val="Arial Narrow"/>
        <family val="2"/>
      </rPr>
      <t>CHF / unité d</t>
    </r>
    <r>
      <rPr>
        <sz val="10"/>
        <rFont val="Arial Narrow"/>
        <family val="2"/>
      </rPr>
      <t>'offre</t>
    </r>
  </si>
  <si>
    <r>
      <rPr>
        <sz val="10"/>
        <rFont val="Arial Narrow"/>
        <family val="2"/>
      </rPr>
      <t>Prix de vente</t>
    </r>
  </si>
  <si>
    <r>
      <rPr>
        <sz val="10"/>
        <rFont val="Arial Narrow"/>
        <family val="2"/>
      </rPr>
      <t>CHF / unité d</t>
    </r>
    <r>
      <rPr>
        <sz val="10"/>
        <rFont val="Arial Narrow"/>
        <family val="2"/>
      </rPr>
      <t>'offre</t>
    </r>
  </si>
  <si>
    <r>
      <rPr>
        <sz val="10"/>
        <rFont val="Arial Narrow"/>
        <family val="2"/>
      </rPr>
      <t>Marge</t>
    </r>
  </si>
  <si>
    <r>
      <rPr>
        <sz val="10"/>
        <rFont val="Arial Narrow"/>
        <family val="2"/>
      </rPr>
      <t>%</t>
    </r>
  </si>
  <si>
    <r>
      <rPr>
        <b/>
        <sz val="10"/>
        <rFont val="Arial Narrow"/>
        <family val="2"/>
      </rPr>
      <t>Rendement</t>
    </r>
  </si>
  <si>
    <r>
      <rPr>
        <sz val="10"/>
        <color rgb="FFFF0000"/>
        <rFont val="Arial Narrow"/>
        <family val="2"/>
      </rPr>
      <t>reprendre dans le compte des résultats</t>
    </r>
  </si>
  <si>
    <r>
      <rPr>
        <b/>
        <sz val="10"/>
        <rFont val="Arial Narrow"/>
        <family val="2"/>
      </rPr>
      <t>Charges directes</t>
    </r>
  </si>
  <si>
    <r>
      <rPr>
        <sz val="10"/>
        <color rgb="FFFF0000"/>
        <rFont val="Arial Narrow"/>
        <family val="2"/>
      </rPr>
      <t>reprendre dans le compte des résultats</t>
    </r>
  </si>
  <si>
    <r>
      <rPr>
        <b/>
        <sz val="10"/>
        <rFont val="Arial Narrow"/>
        <family val="2"/>
      </rPr>
      <t>Marge brute produit 3</t>
    </r>
  </si>
  <si>
    <r>
      <rPr>
        <sz val="10"/>
        <rFont val="Arial Narrow"/>
        <family val="2"/>
      </rPr>
      <t>CHF</t>
    </r>
  </si>
  <si>
    <r>
      <rPr>
        <b/>
        <sz val="12"/>
        <rFont val="Arial Narrow"/>
        <family val="2"/>
      </rPr>
      <t>Coûts non imputables</t>
    </r>
  </si>
  <si>
    <r>
      <rPr>
        <b/>
        <sz val="10"/>
        <rFont val="Arial Narrow"/>
        <family val="2"/>
      </rPr>
      <t>Unité</t>
    </r>
  </si>
  <si>
    <r>
      <rPr>
        <b/>
        <sz val="10"/>
        <rFont val="Arial Narrow"/>
        <family val="2"/>
      </rPr>
      <t>n = année précédente</t>
    </r>
  </si>
  <si>
    <r>
      <rPr>
        <b/>
        <sz val="10"/>
        <rFont val="Arial Narrow"/>
        <family val="2"/>
      </rPr>
      <t>n+1 = 1re année du PDR</t>
    </r>
  </si>
  <si>
    <r>
      <rPr>
        <b/>
        <sz val="10"/>
        <rFont val="Arial Narrow"/>
        <family val="2"/>
      </rPr>
      <t>n+2</t>
    </r>
  </si>
  <si>
    <r>
      <rPr>
        <b/>
        <sz val="10"/>
        <rFont val="Arial Narrow"/>
        <family val="2"/>
      </rPr>
      <t>n+3</t>
    </r>
  </si>
  <si>
    <r>
      <rPr>
        <b/>
        <sz val="10"/>
        <rFont val="Arial Narrow"/>
        <family val="2"/>
      </rPr>
      <t>n+4</t>
    </r>
  </si>
  <si>
    <r>
      <rPr>
        <b/>
        <sz val="10"/>
        <rFont val="Arial Narrow"/>
        <family val="2"/>
      </rPr>
      <t>n+5</t>
    </r>
  </si>
  <si>
    <r>
      <rPr>
        <b/>
        <sz val="10"/>
        <rFont val="Arial Narrow"/>
        <family val="2"/>
      </rPr>
      <t>n+6</t>
    </r>
  </si>
  <si>
    <r>
      <rPr>
        <b/>
        <sz val="11"/>
        <color theme="1"/>
        <rFont val="Arial Narrow"/>
        <family val="2"/>
      </rPr>
      <t>Remarques</t>
    </r>
  </si>
  <si>
    <r>
      <rPr>
        <b/>
        <sz val="10"/>
        <rFont val="Arial Narrow"/>
        <family val="2"/>
      </rPr>
      <t>Valeurs indicatives OFAG</t>
    </r>
  </si>
  <si>
    <r>
      <rPr>
        <b/>
        <sz val="10"/>
        <rFont val="Arial Narrow"/>
        <family val="2"/>
      </rPr>
      <t>Sources d</t>
    </r>
    <r>
      <rPr>
        <b/>
        <sz val="10"/>
        <rFont val="Arial Narrow"/>
        <family val="2"/>
      </rPr>
      <t>'information</t>
    </r>
  </si>
  <si>
    <r>
      <rPr>
        <b/>
        <sz val="10"/>
        <rFont val="Arial Narrow"/>
        <family val="2"/>
      </rPr>
      <t>Explication des hypothèses</t>
    </r>
  </si>
  <si>
    <r>
      <rPr>
        <b/>
        <sz val="11"/>
        <rFont val="Arial Narrow"/>
        <family val="2"/>
      </rPr>
      <t>Charges de personnel - sauf la coordination du projet</t>
    </r>
  </si>
  <si>
    <r>
      <rPr>
        <sz val="11"/>
        <rFont val="Arial Narrow"/>
        <family val="2"/>
      </rPr>
      <t>reprendre dans le compte des résultats</t>
    </r>
  </si>
  <si>
    <r>
      <rPr>
        <sz val="10"/>
        <rFont val="Arial Narrow"/>
        <family val="2"/>
      </rPr>
      <t xml:space="preserve">Assurances sociales </t>
    </r>
    <r>
      <rPr>
        <sz val="10"/>
        <rFont val="Arial Narrow"/>
        <family val="2"/>
      </rPr>
      <t>&amp; gestion (sauf les loyers)</t>
    </r>
  </si>
  <si>
    <r>
      <rPr>
        <sz val="10"/>
        <rFont val="Arial Narrow"/>
        <family val="2"/>
      </rPr>
      <t>env. 15% du salaire brut</t>
    </r>
  </si>
  <si>
    <r>
      <rPr>
        <sz val="10"/>
        <rFont val="Arial Narrow"/>
        <family val="2"/>
      </rPr>
      <t>REFLEX Agridea</t>
    </r>
  </si>
  <si>
    <r>
      <rPr>
        <b/>
        <sz val="10"/>
        <rFont val="Arial Narrow"/>
        <family val="2"/>
      </rPr>
      <t>Salaire total</t>
    </r>
  </si>
  <si>
    <r>
      <rPr>
        <sz val="10"/>
        <rFont val="Arial Narrow"/>
        <family val="2"/>
      </rPr>
      <t>Personne 1</t>
    </r>
  </si>
  <si>
    <r>
      <rPr>
        <sz val="10"/>
        <rFont val="Arial Narrow"/>
        <family val="2"/>
      </rPr>
      <t>CHF / mois</t>
    </r>
  </si>
  <si>
    <r>
      <rPr>
        <sz val="10"/>
        <rFont val="Arial Narrow"/>
        <family val="2"/>
      </rPr>
      <t>Personne 2</t>
    </r>
  </si>
  <si>
    <r>
      <rPr>
        <sz val="10"/>
        <rFont val="Arial Narrow"/>
        <family val="2"/>
      </rPr>
      <t>CHF / mois</t>
    </r>
  </si>
  <si>
    <r>
      <rPr>
        <b/>
        <sz val="10"/>
        <rFont val="Arial Narrow"/>
        <family val="2"/>
      </rPr>
      <t>Taux d</t>
    </r>
    <r>
      <rPr>
        <b/>
        <sz val="10"/>
        <rFont val="Arial Narrow"/>
        <family val="2"/>
      </rPr>
      <t>'occupation pour la branche de production</t>
    </r>
  </si>
  <si>
    <r>
      <rPr>
        <sz val="10"/>
        <rFont val="Arial Narrow"/>
        <family val="2"/>
      </rPr>
      <t>Personne 1</t>
    </r>
  </si>
  <si>
    <r>
      <rPr>
        <sz val="10"/>
        <rFont val="Arial Narrow"/>
        <family val="2"/>
      </rPr>
      <t>% pour la branche de production</t>
    </r>
  </si>
  <si>
    <r>
      <rPr>
        <sz val="10"/>
        <rFont val="Arial Narrow"/>
        <family val="2"/>
      </rPr>
      <t>Personne 2</t>
    </r>
  </si>
  <si>
    <r>
      <rPr>
        <sz val="10"/>
        <rFont val="Arial Narrow"/>
        <family val="2"/>
      </rPr>
      <t>% pour la branche de production</t>
    </r>
  </si>
  <si>
    <r>
      <rPr>
        <b/>
        <sz val="11"/>
        <rFont val="Arial Narrow"/>
        <family val="2"/>
      </rPr>
      <t>Bail à loyer / bail à ferme / coûts immobiliers</t>
    </r>
  </si>
  <si>
    <r>
      <rPr>
        <sz val="11"/>
        <rFont val="Arial Narrow"/>
        <family val="2"/>
      </rPr>
      <t>CHF/année</t>
    </r>
  </si>
  <si>
    <r>
      <rPr>
        <sz val="11"/>
        <rFont val="Arial Narrow"/>
        <family val="2"/>
      </rPr>
      <t>reprendre dans le compte des résultats</t>
    </r>
  </si>
  <si>
    <r>
      <rPr>
        <sz val="10"/>
        <rFont val="Arial Narrow"/>
        <family val="2"/>
      </rPr>
      <t>loyer / mois pour l</t>
    </r>
    <r>
      <rPr>
        <sz val="10"/>
        <rFont val="Arial Narrow"/>
        <family val="2"/>
      </rPr>
      <t>'ensemble de l</t>
    </r>
    <r>
      <rPr>
        <sz val="10"/>
        <rFont val="Arial Narrow"/>
        <family val="2"/>
      </rPr>
      <t>'exploitation</t>
    </r>
  </si>
  <si>
    <r>
      <rPr>
        <sz val="10"/>
        <rFont val="Arial Narrow"/>
        <family val="2"/>
      </rPr>
      <t>CHF / mois</t>
    </r>
  </si>
  <si>
    <r>
      <rPr>
        <sz val="10"/>
        <rFont val="Arial Narrow"/>
        <family val="2"/>
      </rPr>
      <t>% part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</si>
  <si>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</si>
  <si>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</si>
  <si>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Entretien, réparation, remplacement</t>
    </r>
  </si>
  <si>
    <r>
      <rPr>
        <sz val="11"/>
        <rFont val="Arial Narrow"/>
        <family val="2"/>
      </rPr>
      <t>reprendre dans le compte des résultats</t>
    </r>
  </si>
  <si>
    <r>
      <rPr>
        <sz val="11"/>
        <rFont val="Arial Narrow"/>
        <family val="2"/>
      </rPr>
      <t>Rapport de base Agroscope</t>
    </r>
  </si>
  <si>
    <r>
      <rPr>
        <sz val="10"/>
        <rFont val="Arial Narrow"/>
        <family val="2"/>
      </rPr>
      <t>Frais d</t>
    </r>
    <r>
      <rPr>
        <sz val="10"/>
        <rFont val="Arial Narrow"/>
        <family val="2"/>
      </rPr>
      <t>'entretien et de réparation</t>
    </r>
  </si>
  <si>
    <r>
      <rPr>
        <sz val="11"/>
        <rFont val="Arial Narrow"/>
        <family val="2"/>
      </rPr>
      <t>CHF</t>
    </r>
  </si>
  <si>
    <r>
      <rPr>
        <sz val="10"/>
        <color rgb="FFFF0000"/>
        <rFont val="Arial Narrow"/>
        <family val="2"/>
      </rPr>
      <t xml:space="preserve">automatiquement à partir du </t>
    </r>
    <r>
      <rPr>
        <sz val="10"/>
        <color rgb="FFFF0000"/>
        <rFont val="Arial Narrow"/>
        <family val="2"/>
      </rPr>
      <t>"tableau de financement</t>
    </r>
    <r>
      <rPr>
        <sz val="10"/>
        <color rgb="FFFF0000"/>
        <rFont val="Arial Narrow"/>
        <family val="2"/>
      </rPr>
      <t>"</t>
    </r>
  </si>
  <si>
    <r>
      <rPr>
        <sz val="10"/>
        <rFont val="Arial Narrow"/>
        <family val="2"/>
      </rPr>
      <t>Frais de remplacement</t>
    </r>
  </si>
  <si>
    <r>
      <rPr>
        <sz val="11"/>
        <rFont val="Arial Narrow"/>
        <family val="2"/>
      </rPr>
      <t>CHF</t>
    </r>
  </si>
  <si>
    <r>
      <rPr>
        <b/>
        <sz val="11"/>
        <rFont val="Arial Narrow"/>
        <family val="2"/>
      </rPr>
      <t>Frais de véhicule et de transport</t>
    </r>
  </si>
  <si>
    <r>
      <rPr>
        <sz val="11"/>
        <rFont val="Arial Narrow"/>
        <family val="2"/>
      </rPr>
      <t>CHF</t>
    </r>
  </si>
  <si>
    <r>
      <rPr>
        <sz val="11"/>
        <rFont val="Arial Narrow"/>
        <family val="2"/>
      </rPr>
      <t>reprendre dans le compte des résultats</t>
    </r>
  </si>
  <si>
    <r>
      <rPr>
        <sz val="10"/>
        <rFont val="Arial Narrow"/>
        <family val="2"/>
      </rPr>
      <t>coûts / année pour l</t>
    </r>
    <r>
      <rPr>
        <sz val="10"/>
        <rFont val="Arial Narrow"/>
        <family val="2"/>
      </rPr>
      <t>'ensemble de l</t>
    </r>
    <r>
      <rPr>
        <sz val="10"/>
        <rFont val="Arial Narrow"/>
        <family val="2"/>
      </rPr>
      <t>'exploitation</t>
    </r>
  </si>
  <si>
    <r>
      <rPr>
        <sz val="10"/>
        <rFont val="Arial Narrow"/>
        <family val="2"/>
      </rPr>
      <t>CHF</t>
    </r>
  </si>
  <si>
    <r>
      <rPr>
        <sz val="10"/>
        <rFont val="Arial Narrow"/>
        <family val="2"/>
      </rPr>
      <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</si>
  <si>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</si>
  <si>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</si>
  <si>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Assurance mobilière</t>
    </r>
    <r>
      <rPr>
        <sz val="10"/>
        <rFont val="Arial Narrow"/>
        <family val="2"/>
      </rPr>
      <t xml:space="preserve"> (y compris la responsabilité civile)</t>
    </r>
  </si>
  <si>
    <r>
      <rPr>
        <sz val="11"/>
        <rFont val="Arial Narrow"/>
        <family val="2"/>
      </rPr>
      <t>CHF</t>
    </r>
  </si>
  <si>
    <r>
      <rPr>
        <sz val="11"/>
        <rFont val="Arial Narrow"/>
        <family val="2"/>
      </rPr>
      <t>reprendre dans le compte des résultats</t>
    </r>
  </si>
  <si>
    <r>
      <rPr>
        <sz val="10"/>
        <rFont val="Arial Narrow"/>
        <family val="2"/>
      </rPr>
      <t>coûts / année pour l</t>
    </r>
    <r>
      <rPr>
        <sz val="10"/>
        <rFont val="Arial Narrow"/>
        <family val="2"/>
      </rPr>
      <t>'ensemble de l</t>
    </r>
    <r>
      <rPr>
        <sz val="10"/>
        <rFont val="Arial Narrow"/>
        <family val="2"/>
      </rPr>
      <t>'exploitation</t>
    </r>
  </si>
  <si>
    <r>
      <rPr>
        <sz val="10"/>
        <rFont val="Arial Narrow"/>
        <family val="2"/>
      </rPr>
      <t>CHF</t>
    </r>
  </si>
  <si>
    <r>
      <rPr>
        <sz val="10"/>
        <rFont val="Arial Narrow"/>
        <family val="2"/>
      </rPr>
      <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</si>
  <si>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</si>
  <si>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</si>
  <si>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Autres charges de fonctionnement</t>
    </r>
  </si>
  <si>
    <r>
      <rPr>
        <sz val="11"/>
        <rFont val="Arial Narrow"/>
        <family val="2"/>
      </rPr>
      <t>reprendre dans le compte des résultats</t>
    </r>
  </si>
  <si>
    <r>
      <rPr>
        <sz val="11"/>
        <rFont val="Arial Narrow"/>
        <family val="2"/>
      </rPr>
      <t>Rapport de base Agroscope</t>
    </r>
  </si>
  <si>
    <r>
      <rPr>
        <sz val="11"/>
        <rFont val="Arial Narrow"/>
        <family val="2"/>
      </rPr>
      <t>CHF</t>
    </r>
  </si>
  <si>
    <r>
      <rPr>
        <sz val="11"/>
        <rFont val="Arial Narrow"/>
        <family val="2"/>
      </rPr>
      <t>CHF</t>
    </r>
  </si>
  <si>
    <r>
      <rPr>
        <b/>
        <sz val="11"/>
        <rFont val="Arial Narrow"/>
        <family val="2"/>
      </rPr>
      <t>Électricité, énergie et coûts d</t>
    </r>
    <r>
      <rPr>
        <b/>
        <sz val="11"/>
        <rFont val="Arial Narrow"/>
        <family val="2"/>
      </rPr>
      <t>'élimination des déchets</t>
    </r>
  </si>
  <si>
    <r>
      <rPr>
        <sz val="11"/>
        <rFont val="Arial Narrow"/>
        <family val="2"/>
      </rPr>
      <t>CHF/année</t>
    </r>
  </si>
  <si>
    <r>
      <rPr>
        <sz val="11"/>
        <rFont val="Arial Narrow"/>
        <family val="2"/>
      </rPr>
      <t>reprendre dans le compte des résultats</t>
    </r>
  </si>
  <si>
    <r>
      <rPr>
        <sz val="10"/>
        <rFont val="Arial Narrow"/>
        <family val="2"/>
      </rPr>
      <t>coûts / année pour l</t>
    </r>
    <r>
      <rPr>
        <sz val="10"/>
        <rFont val="Arial Narrow"/>
        <family val="2"/>
      </rPr>
      <t>'ensemble de l</t>
    </r>
    <r>
      <rPr>
        <sz val="10"/>
        <rFont val="Arial Narrow"/>
        <family val="2"/>
      </rPr>
      <t>'exploitation</t>
    </r>
  </si>
  <si>
    <r>
      <rPr>
        <sz val="10"/>
        <rFont val="Arial Narrow"/>
        <family val="2"/>
      </rPr>
      <t>CHF/année</t>
    </r>
  </si>
  <si>
    <r>
      <rPr>
        <sz val="10"/>
        <rFont val="Arial Narrow"/>
        <family val="2"/>
      </rPr>
      <t>% part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</si>
  <si>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</si>
  <si>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</si>
  <si>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Charges de gestion et d</t>
    </r>
    <r>
      <rPr>
        <b/>
        <sz val="11"/>
        <rFont val="Arial Narrow"/>
        <family val="2"/>
      </rPr>
      <t>'informatique</t>
    </r>
  </si>
  <si>
    <r>
      <rPr>
        <sz val="11"/>
        <rFont val="Arial Narrow"/>
        <family val="2"/>
      </rPr>
      <t>CHF</t>
    </r>
  </si>
  <si>
    <r>
      <rPr>
        <sz val="11"/>
        <rFont val="Arial Narrow"/>
        <family val="2"/>
      </rPr>
      <t>reprendre dans le compte des résultats</t>
    </r>
  </si>
  <si>
    <r>
      <rPr>
        <b/>
        <sz val="10"/>
        <rFont val="Arial Narrow"/>
        <family val="2"/>
      </rPr>
      <t>Charge administrative</t>
    </r>
  </si>
  <si>
    <r>
      <rPr>
        <sz val="10"/>
        <rFont val="Arial Narrow"/>
        <family val="2"/>
      </rPr>
      <t>Charges / ETP</t>
    </r>
  </si>
  <si>
    <r>
      <rPr>
        <sz val="10"/>
        <rFont val="Arial Narrow"/>
        <family val="2"/>
      </rPr>
      <t>CHF / ETP par année</t>
    </r>
  </si>
  <si>
    <r>
      <rPr>
        <sz val="10"/>
        <rFont val="Arial Narrow"/>
        <family val="2"/>
      </rPr>
      <t>Nombre ETP</t>
    </r>
  </si>
  <si>
    <r>
      <rPr>
        <sz val="10"/>
        <rFont val="Arial Narrow"/>
        <family val="2"/>
      </rPr>
      <t>ETP</t>
    </r>
  </si>
  <si>
    <r>
      <rPr>
        <b/>
        <sz val="10"/>
        <rFont val="Arial Narrow"/>
        <family val="2"/>
      </rPr>
      <t>Charges de marketing</t>
    </r>
  </si>
  <si>
    <r>
      <rPr>
        <sz val="10"/>
        <rFont val="Arial Narrow"/>
        <family val="2"/>
      </rPr>
      <t>montant fixe / mois</t>
    </r>
  </si>
  <si>
    <r>
      <rPr>
        <sz val="10"/>
        <rFont val="Arial Narrow"/>
        <family val="2"/>
      </rPr>
      <t>CHF / mois</t>
    </r>
  </si>
  <si>
    <r>
      <rPr>
        <b/>
        <sz val="10"/>
        <rFont val="Arial Narrow"/>
        <family val="2"/>
      </rPr>
      <t>Contribution des membres à l</t>
    </r>
    <r>
      <rPr>
        <b/>
        <sz val="10"/>
        <rFont val="Arial Narrow"/>
        <family val="2"/>
      </rPr>
      <t>'organisation faîtière PDR</t>
    </r>
  </si>
  <si>
    <r>
      <rPr>
        <sz val="10"/>
        <rFont val="Arial Narrow"/>
        <family val="2"/>
      </rPr>
      <t>CHF/année</t>
    </r>
  </si>
  <si>
    <r>
      <rPr>
        <b/>
        <sz val="10"/>
        <rFont val="Arial Narrow"/>
        <family val="2"/>
      </rPr>
      <t>Coordination du projet</t>
    </r>
  </si>
  <si>
    <r>
      <rPr>
        <sz val="10"/>
        <rFont val="Arial Narrow"/>
        <family val="2"/>
      </rPr>
      <t>Liste d</t>
    </r>
    <r>
      <rPr>
        <sz val="10"/>
        <rFont val="Arial Narrow"/>
        <family val="2"/>
      </rPr>
      <t>'honoraires OFPER</t>
    </r>
  </si>
  <si>
    <r>
      <rPr>
        <sz val="10"/>
        <rFont val="Arial Narrow"/>
        <family val="2"/>
      </rPr>
      <t>… interne via l</t>
    </r>
    <r>
      <rPr>
        <sz val="10"/>
        <rFont val="Arial Narrow"/>
        <family val="2"/>
      </rPr>
      <t>'organisation faîtière PDR</t>
    </r>
  </si>
  <si>
    <r>
      <rPr>
        <sz val="10"/>
        <rFont val="Arial Narrow"/>
        <family val="2"/>
      </rPr>
      <t>Part à la coordination globale</t>
    </r>
  </si>
  <si>
    <r>
      <rPr>
        <sz val="10"/>
        <rFont val="Arial Narrow"/>
        <family val="2"/>
      </rPr>
      <t>%</t>
    </r>
  </si>
  <si>
    <r>
      <rPr>
        <sz val="10"/>
        <rFont val="Arial Narrow"/>
        <family val="2"/>
      </rPr>
      <t>Coûts de la coordination globale</t>
    </r>
  </si>
  <si>
    <r>
      <rPr>
        <sz val="10"/>
        <rFont val="Arial Narrow"/>
        <family val="2"/>
      </rPr>
      <t>CHF/année</t>
    </r>
  </si>
  <si>
    <r>
      <rPr>
        <sz val="10"/>
        <rFont val="Arial Narrow"/>
        <family val="2"/>
      </rPr>
      <t>… par un coach externe</t>
    </r>
  </si>
  <si>
    <r>
      <rPr>
        <sz val="10"/>
        <rFont val="Arial Narrow"/>
        <family val="2"/>
      </rPr>
      <t>Journées de travail</t>
    </r>
  </si>
  <si>
    <r>
      <rPr>
        <sz val="10"/>
        <rFont val="Arial Narrow"/>
        <family val="2"/>
      </rPr>
      <t>Jours</t>
    </r>
  </si>
  <si>
    <r>
      <rPr>
        <sz val="10"/>
        <rFont val="Arial Narrow"/>
        <family val="2"/>
      </rPr>
      <t>Tarif journalier, poste de travail et frais compris</t>
    </r>
  </si>
  <si>
    <r>
      <rPr>
        <sz val="10"/>
        <rFont val="Arial Narrow"/>
        <family val="2"/>
      </rPr>
      <t>CHF/jour</t>
    </r>
  </si>
  <si>
    <r>
      <rPr>
        <sz val="10"/>
        <rFont val="Arial Narrow"/>
        <family val="2"/>
      </rPr>
      <t>Liste d</t>
    </r>
    <r>
      <rPr>
        <sz val="10"/>
        <rFont val="Arial Narrow"/>
        <family val="2"/>
      </rPr>
      <t>'honoraires OFPER</t>
    </r>
  </si>
  <si>
    <r>
      <rPr>
        <b/>
        <sz val="11"/>
        <rFont val="Arial Narrow"/>
        <family val="2"/>
      </rPr>
      <t>Amortissements</t>
    </r>
  </si>
  <si>
    <r>
      <rPr>
        <sz val="11"/>
        <rFont val="Arial Narrow"/>
        <family val="2"/>
      </rPr>
      <t>reprendre dans le compte des résultats</t>
    </r>
  </si>
  <si>
    <r>
      <rPr>
        <sz val="10"/>
        <rFont val="Arial Narrow"/>
        <family val="2"/>
      </rPr>
      <t>Amortissements</t>
    </r>
  </si>
  <si>
    <r>
      <rPr>
        <sz val="11"/>
        <rFont val="Arial Narrow"/>
        <family val="2"/>
      </rPr>
      <t>CHF</t>
    </r>
  </si>
  <si>
    <r>
      <rPr>
        <sz val="10"/>
        <color rgb="FFFF0000"/>
        <rFont val="Arial Narrow"/>
        <family val="2"/>
      </rPr>
      <t xml:space="preserve">automatiquement à partir du </t>
    </r>
    <r>
      <rPr>
        <sz val="10"/>
        <color rgb="FFFF0000"/>
        <rFont val="Arial Narrow"/>
        <family val="2"/>
      </rPr>
      <t>"tableau de financement</t>
    </r>
    <r>
      <rPr>
        <sz val="10"/>
        <color rgb="FFFF0000"/>
        <rFont val="Arial Narrow"/>
        <family val="2"/>
      </rPr>
      <t>"</t>
    </r>
  </si>
  <si>
    <r>
      <rPr>
        <b/>
        <sz val="10"/>
        <rFont val="Arial Narrow"/>
        <family val="2"/>
      </rPr>
      <t>Impôts</t>
    </r>
  </si>
  <si>
    <r>
      <rPr>
        <sz val="11"/>
        <rFont val="Arial Narrow"/>
        <family val="2"/>
      </rPr>
      <t>reprendre dans le compte des résultats</t>
    </r>
  </si>
  <si>
    <r>
      <rPr>
        <sz val="10"/>
        <rFont val="Arial Narrow"/>
        <family val="2"/>
      </rPr>
      <t>Taux d</t>
    </r>
    <r>
      <rPr>
        <sz val="10"/>
        <rFont val="Arial Narrow"/>
        <family val="2"/>
      </rPr>
      <t>'imposition</t>
    </r>
  </si>
  <si>
    <r>
      <rPr>
        <b/>
        <sz val="12"/>
        <rFont val="Arial Narrow"/>
        <family val="2"/>
      </rPr>
      <t>Réduction en % des coûts donnant droit à une contribution</t>
    </r>
  </si>
  <si>
    <r>
      <rPr>
        <sz val="12"/>
        <rFont val="Arial Narrow"/>
        <family val="2"/>
      </rPr>
      <t>Bonus PDR</t>
    </r>
  </si>
  <si>
    <r>
      <rPr>
        <b/>
        <sz val="12"/>
        <rFont val="Arial Narrow"/>
        <family val="2"/>
      </rPr>
      <t>Taux des contributions de la Confédération</t>
    </r>
  </si>
  <si>
    <r>
      <rPr>
        <b/>
        <sz val="12"/>
        <rFont val="Arial Narrow"/>
        <family val="2"/>
      </rPr>
      <t>Mesure</t>
    </r>
  </si>
  <si>
    <r>
      <rPr>
        <b/>
        <sz val="12"/>
        <rFont val="Arial Narrow"/>
        <family val="2"/>
      </rPr>
      <t>Participation cantonale à la contribution fédérale</t>
    </r>
  </si>
  <si>
    <r>
      <rPr>
        <sz val="12"/>
        <rFont val="Arial Narrow"/>
        <family val="2"/>
      </rPr>
      <t>…veuillez sélectionner la mesure</t>
    </r>
  </si>
  <si>
    <r>
      <rPr>
        <sz val="12"/>
        <rFont val="Arial Narrow"/>
        <family val="2"/>
      </rPr>
      <t>selon la situation de l</t>
    </r>
    <r>
      <rPr>
        <sz val="12"/>
        <rFont val="Arial Narrow"/>
        <family val="2"/>
      </rPr>
      <t>'exploitation</t>
    </r>
  </si>
  <si>
    <r>
      <rPr>
        <sz val="12"/>
        <rFont val="Arial Narrow"/>
        <family val="2"/>
      </rPr>
      <t>selon la situation de l</t>
    </r>
    <r>
      <rPr>
        <sz val="12"/>
        <rFont val="Arial Narrow"/>
        <family val="2"/>
      </rPr>
      <t>'exploitation</t>
    </r>
  </si>
  <si>
    <r>
      <rPr>
        <sz val="12"/>
        <rFont val="Arial Narrow"/>
        <family val="2"/>
      </rPr>
      <t>selon la situation de l</t>
    </r>
    <r>
      <rPr>
        <sz val="12"/>
        <rFont val="Arial Narrow"/>
        <family val="2"/>
      </rPr>
      <t>'exploitation</t>
    </r>
  </si>
  <si>
    <r>
      <rPr>
        <sz val="12"/>
        <rFont val="Arial Narrow"/>
        <family val="2"/>
      </rPr>
      <t>complet</t>
    </r>
  </si>
  <si>
    <r>
      <rPr>
        <sz val="12"/>
        <rFont val="Arial Narrow"/>
        <family val="2"/>
      </rPr>
      <t>SAF</t>
    </r>
  </si>
  <si>
    <r>
      <rPr>
        <sz val="12"/>
        <rFont val="Arial Narrow"/>
        <family val="2"/>
      </rPr>
      <t>communautaires</t>
    </r>
  </si>
  <si>
    <r>
      <rPr>
        <sz val="12"/>
        <rFont val="Arial Narrow"/>
        <family val="2"/>
      </rPr>
      <t>reprendre du modèle Bâtiments ruraux</t>
    </r>
  </si>
  <si>
    <r>
      <rPr>
        <sz val="12"/>
        <rFont val="Arial Narrow"/>
        <family val="2"/>
      </rPr>
      <t>unique</t>
    </r>
  </si>
  <si>
    <r>
      <rPr>
        <b/>
        <sz val="12"/>
        <rFont val="Arial Narrow"/>
        <family val="2"/>
      </rPr>
      <t>Situation de l</t>
    </r>
    <r>
      <rPr>
        <b/>
        <sz val="12"/>
        <rFont val="Arial Narrow"/>
        <family val="2"/>
      </rPr>
      <t>'exploitation</t>
    </r>
  </si>
  <si>
    <r>
      <rPr>
        <b/>
        <sz val="12"/>
        <rFont val="Arial Narrow"/>
        <family val="2"/>
      </rPr>
      <t>Taux des contributions de la Confédération</t>
    </r>
  </si>
  <si>
    <r>
      <rPr>
        <sz val="12"/>
        <rFont val="Arial Narrow"/>
        <family val="2"/>
      </rPr>
      <t>Plaine</t>
    </r>
  </si>
  <si>
    <r>
      <rPr>
        <sz val="12"/>
        <rFont val="Arial Narrow"/>
        <family val="2"/>
      </rPr>
      <t>ZC / ZM I</t>
    </r>
  </si>
  <si>
    <r>
      <rPr>
        <b/>
        <sz val="12"/>
        <rFont val="Arial Narrow"/>
        <family val="2"/>
      </rPr>
      <t>Production</t>
    </r>
  </si>
  <si>
    <r>
      <rPr>
        <b/>
        <sz val="12"/>
        <rFont val="Arial Narrow"/>
        <family val="2"/>
      </rPr>
      <t>Transformation</t>
    </r>
  </si>
  <si>
    <r>
      <rPr>
        <b/>
        <sz val="12"/>
        <rFont val="Arial Narrow"/>
        <family val="2"/>
      </rPr>
      <t>Commercialisation</t>
    </r>
  </si>
  <si>
    <r>
      <rPr>
        <b/>
        <sz val="12"/>
        <rFont val="Arial Narrow"/>
        <family val="2"/>
      </rPr>
      <t>Autres</t>
    </r>
  </si>
  <si>
    <r>
      <rPr>
        <sz val="12"/>
        <rFont val="Arial Narrow"/>
        <family val="2"/>
      </rPr>
      <t>sélectionner</t>
    </r>
  </si>
  <si>
    <r>
      <rPr>
        <sz val="9"/>
        <color theme="1"/>
        <rFont val="Arial Narrow"/>
        <family val="2"/>
      </rPr>
      <t xml:space="preserve">Fruits et légumes (F </t>
    </r>
    <r>
      <rPr>
        <sz val="9"/>
        <color theme="1"/>
        <rFont val="Arial Narrow"/>
        <family val="2"/>
      </rPr>
      <t>&amp; L)</t>
    </r>
  </si>
  <si>
    <r>
      <rPr>
        <sz val="9"/>
        <color theme="1"/>
        <rFont val="Arial Narrow"/>
        <family val="2"/>
      </rPr>
      <t xml:space="preserve">Transformation F </t>
    </r>
    <r>
      <rPr>
        <sz val="9"/>
        <color theme="1"/>
        <rFont val="Arial Narrow"/>
        <family val="2"/>
      </rPr>
      <t>&amp; L</t>
    </r>
  </si>
  <si>
    <r>
      <rPr>
        <sz val="9"/>
        <color rgb="FF000000"/>
        <rFont val="Arial Narrow"/>
        <family val="2"/>
      </rPr>
      <t>Mise en valeur de la région</t>
    </r>
  </si>
  <si>
    <r>
      <rPr>
        <sz val="9"/>
        <color theme="1"/>
        <rFont val="Arial Narrow"/>
        <family val="2"/>
      </rPr>
      <t xml:space="preserve">Logistique </t>
    </r>
    <r>
      <rPr>
        <sz val="9"/>
        <color theme="1"/>
        <rFont val="Arial Narrow"/>
        <family val="2"/>
      </rPr>
      <t>&amp; stockage</t>
    </r>
  </si>
  <si>
    <r>
      <rPr>
        <sz val="9"/>
        <color theme="1"/>
        <rFont val="Arial Narrow"/>
        <family val="2"/>
      </rPr>
      <t>Vinification</t>
    </r>
  </si>
  <si>
    <r>
      <rPr>
        <sz val="9"/>
        <color theme="1"/>
        <rFont val="Arial Narrow"/>
        <family val="2"/>
      </rPr>
      <t xml:space="preserve">Restauration </t>
    </r>
  </si>
  <si>
    <r>
      <rPr>
        <sz val="9"/>
        <color theme="1"/>
        <rFont val="Arial Narrow"/>
        <family val="2"/>
      </rPr>
      <t>Vente directe</t>
    </r>
  </si>
  <si>
    <r>
      <rPr>
        <sz val="9"/>
        <color theme="1"/>
        <rFont val="Arial Narrow"/>
        <family val="2"/>
      </rPr>
      <t>Divers</t>
    </r>
  </si>
  <si>
    <r>
      <rPr>
        <sz val="9"/>
        <color theme="1"/>
        <rFont val="Arial Narrow"/>
        <family val="2"/>
      </rPr>
      <t>Lait</t>
    </r>
  </si>
  <si>
    <r>
      <rPr>
        <sz val="9"/>
        <color theme="1"/>
        <rFont val="Arial Narrow"/>
        <family val="2"/>
      </rPr>
      <t>Lait</t>
    </r>
  </si>
  <si>
    <r>
      <rPr>
        <sz val="9"/>
        <color theme="1"/>
        <rFont val="Arial Narrow"/>
        <family val="2"/>
      </rPr>
      <t>Communication, marketing</t>
    </r>
  </si>
  <si>
    <r>
      <rPr>
        <sz val="9"/>
        <color theme="1"/>
        <rFont val="Arial Narrow"/>
        <family val="2"/>
      </rPr>
      <t>Offres pédagogiques</t>
    </r>
  </si>
  <si>
    <r>
      <rPr>
        <sz val="9"/>
        <color theme="1"/>
        <rFont val="Arial Narrow"/>
        <family val="2"/>
      </rPr>
      <t>Engraissement</t>
    </r>
  </si>
  <si>
    <r>
      <rPr>
        <sz val="9"/>
        <color theme="1"/>
        <rFont val="Arial Narrow"/>
        <family val="2"/>
      </rPr>
      <t>Viande</t>
    </r>
  </si>
  <si>
    <r>
      <rPr>
        <sz val="9"/>
        <color theme="1"/>
        <rFont val="Arial Narrow"/>
        <family val="2"/>
      </rPr>
      <t>Divers</t>
    </r>
  </si>
  <si>
    <r>
      <rPr>
        <sz val="9"/>
        <color theme="1"/>
        <rFont val="Arial Narrow"/>
        <family val="2"/>
      </rPr>
      <t>Energies renouvelables</t>
    </r>
  </si>
  <si>
    <r>
      <rPr>
        <sz val="9"/>
        <color theme="1"/>
        <rFont val="Arial Narrow"/>
        <family val="2"/>
      </rPr>
      <t>Alpage (lait, engraissement, étable)</t>
    </r>
  </si>
  <si>
    <r>
      <rPr>
        <sz val="9"/>
        <color theme="1"/>
        <rFont val="Arial Narrow"/>
        <family val="2"/>
      </rPr>
      <t>Alpage</t>
    </r>
  </si>
  <si>
    <r>
      <rPr>
        <sz val="9"/>
        <color theme="1"/>
        <rFont val="Arial Narrow"/>
        <family val="2"/>
      </rPr>
      <t>Divers</t>
    </r>
  </si>
  <si>
    <r>
      <rPr>
        <sz val="9"/>
        <color theme="1"/>
        <rFont val="Arial Narrow"/>
        <family val="2"/>
      </rPr>
      <t>Divers</t>
    </r>
  </si>
  <si>
    <r>
      <rPr>
        <sz val="9"/>
        <color theme="1"/>
        <rFont val="Arial Narrow"/>
        <family val="2"/>
      </rPr>
      <t>Divers</t>
    </r>
  </si>
  <si>
    <r>
      <rPr>
        <b/>
        <sz val="12"/>
        <rFont val="Arial Narrow"/>
        <family val="2"/>
      </rPr>
      <t>Unité d</t>
    </r>
    <r>
      <rPr>
        <b/>
        <sz val="12"/>
        <rFont val="Arial Narrow"/>
        <family val="2"/>
      </rPr>
      <t>'observation</t>
    </r>
  </si>
  <si>
    <r>
      <rPr>
        <b/>
        <sz val="12"/>
        <rFont val="Arial Narrow"/>
        <family val="2"/>
      </rPr>
      <t>Porteur de projet</t>
    </r>
  </si>
  <si>
    <r>
      <rPr>
        <sz val="12"/>
        <color theme="1"/>
        <rFont val="Arial Narrow"/>
        <family val="2"/>
      </rPr>
      <t>Exploitation</t>
    </r>
  </si>
  <si>
    <r>
      <rPr>
        <sz val="12"/>
        <color theme="1"/>
        <rFont val="Arial Narrow"/>
        <family val="2"/>
      </rPr>
      <t>Exploitation individuelle</t>
    </r>
  </si>
  <si>
    <r>
      <rPr>
        <sz val="12"/>
        <color theme="1"/>
        <rFont val="Arial Narrow"/>
        <family val="2"/>
      </rPr>
      <t>Branche de production</t>
    </r>
  </si>
  <si>
    <r>
      <rPr>
        <sz val="12"/>
        <color theme="1"/>
        <rFont val="Arial Narrow"/>
        <family val="2"/>
      </rPr>
      <t>communautaires</t>
    </r>
  </si>
  <si>
    <r>
      <rPr>
        <sz val="12"/>
        <color theme="1"/>
        <rFont val="Arial Narrow"/>
        <family val="2"/>
      </rPr>
      <t>sélectionner</t>
    </r>
  </si>
  <si>
    <r>
      <rPr>
        <b/>
        <sz val="12"/>
        <rFont val="Arial Narrow"/>
        <family val="2"/>
      </rPr>
      <t>Le porteur de projet existait-il déjà avant le PDR?</t>
    </r>
  </si>
  <si>
    <r>
      <rPr>
        <sz val="12"/>
        <rFont val="Arial Narrow"/>
        <family val="2"/>
      </rPr>
      <t>Type de PDR</t>
    </r>
  </si>
  <si>
    <r>
      <rPr>
        <sz val="12"/>
        <color theme="1"/>
        <rFont val="Arial Narrow"/>
        <family val="2"/>
      </rPr>
      <t>oui</t>
    </r>
  </si>
  <si>
    <r>
      <rPr>
        <sz val="12"/>
        <rFont val="Arial Narrow"/>
        <family val="2"/>
      </rPr>
      <t>orienté sur la chaîne de création de valeur</t>
    </r>
  </si>
  <si>
    <r>
      <rPr>
        <sz val="12"/>
        <color theme="1"/>
        <rFont val="Arial Narrow"/>
        <family val="2"/>
      </rPr>
      <t>non</t>
    </r>
  </si>
  <si>
    <r>
      <rPr>
        <sz val="12"/>
        <rFont val="Arial Narrow"/>
        <family val="2"/>
      </rPr>
      <t>intersectoriel</t>
    </r>
  </si>
  <si>
    <r>
      <rPr>
        <sz val="12"/>
        <color theme="1"/>
        <rFont val="Arial Narrow"/>
        <family val="2"/>
      </rPr>
      <t>sélectionner</t>
    </r>
  </si>
  <si>
    <r>
      <rPr>
        <sz val="12"/>
        <rFont val="Arial Narrow"/>
        <family val="2"/>
      </rPr>
      <t>sélectionner</t>
    </r>
  </si>
  <si>
    <r>
      <rPr>
        <b/>
        <sz val="12"/>
        <rFont val="Arial Narrow"/>
        <family val="2"/>
      </rPr>
      <t>Sources de financement</t>
    </r>
  </si>
  <si>
    <r>
      <rPr>
        <sz val="12"/>
        <color theme="1"/>
        <rFont val="Arial Narrow"/>
        <family val="2"/>
      </rPr>
      <t>…veuillez sélectionner la source de financement</t>
    </r>
  </si>
  <si>
    <r>
      <rPr>
        <sz val="12"/>
        <color theme="1"/>
        <rFont val="Arial Narrow"/>
        <family val="2"/>
      </rPr>
      <t>Fonds propres</t>
    </r>
  </si>
  <si>
    <r>
      <rPr>
        <sz val="12"/>
        <color theme="1"/>
        <rFont val="Arial Narrow"/>
        <family val="2"/>
      </rPr>
      <t>Financement du solde inconnu</t>
    </r>
  </si>
  <si>
    <r>
      <rPr>
        <b/>
        <sz val="12"/>
        <rFont val="Arial Narrow"/>
        <family val="2"/>
      </rPr>
      <t>Assuré?</t>
    </r>
  </si>
  <si>
    <r>
      <rPr>
        <sz val="12"/>
        <color theme="1"/>
        <rFont val="Arial Narrow"/>
        <family val="2"/>
      </rPr>
      <t>...veuillez sélectionner</t>
    </r>
  </si>
  <si>
    <r>
      <rPr>
        <sz val="12"/>
        <color theme="1"/>
        <rFont val="Arial Narrow"/>
        <family val="2"/>
      </rPr>
      <t>oui</t>
    </r>
  </si>
  <si>
    <r>
      <rPr>
        <sz val="12"/>
        <color theme="1"/>
        <rFont val="Arial Narrow"/>
        <family val="2"/>
      </rPr>
      <t>non</t>
    </r>
  </si>
  <si>
    <r>
      <rPr>
        <sz val="12"/>
        <color theme="1"/>
        <rFont val="Arial Narrow"/>
        <family val="2"/>
      </rPr>
      <t>sélectionner</t>
    </r>
  </si>
  <si>
    <r>
      <t>Investissements collectifs dans l</t>
    </r>
    <r>
      <rPr>
        <sz val="12"/>
        <color rgb="FFFF0000"/>
        <rFont val="Arial Narrow"/>
        <family val="2"/>
      </rPr>
      <t>'intérêt de l</t>
    </r>
    <r>
      <rPr>
        <sz val="12"/>
        <color rgb="FFFF0000"/>
        <rFont val="Arial Narrow"/>
        <family val="2"/>
      </rPr>
      <t>'ensemble du projet</t>
    </r>
  </si>
  <si>
    <r>
      <t>Mise en place d</t>
    </r>
    <r>
      <rPr>
        <sz val="12"/>
        <rFont val="Arial Narrow"/>
        <family val="2"/>
      </rPr>
      <t>'une branche de production dans l</t>
    </r>
    <r>
      <rPr>
        <sz val="12"/>
        <rFont val="Arial Narrow"/>
        <family val="2"/>
      </rPr>
      <t>'exploitation agricole</t>
    </r>
  </si>
  <si>
    <r>
      <t>Mesures d</t>
    </r>
    <r>
      <rPr>
        <sz val="12"/>
        <color rgb="FF7030A0"/>
        <rFont val="Arial Narrow"/>
        <family val="2"/>
      </rPr>
      <t>'améliorations foncières</t>
    </r>
  </si>
  <si>
    <t>sélectionner</t>
  </si>
  <si>
    <t>reprendre du modèle Bâtiments ruraux</t>
  </si>
  <si>
    <r>
      <t>veuillez clarifier spécifiquement avec l</t>
    </r>
    <r>
      <rPr>
        <sz val="12"/>
        <rFont val="Arial Narrow"/>
        <family val="2"/>
      </rPr>
      <t>'OFAG</t>
    </r>
  </si>
  <si>
    <t>Mesures individuelles contribuant à la protection de l'environnement</t>
  </si>
  <si>
    <t>Direction du PDR (ne compte pas comme PP)</t>
  </si>
  <si>
    <t>Crédit d’investissement</t>
  </si>
  <si>
    <t>Prêts de tiers</t>
  </si>
  <si>
    <t>Contributions Confédération et canton</t>
  </si>
  <si>
    <t>Contributions à fonds perdu de tiers</t>
  </si>
  <si>
    <t>Hypothèque</t>
  </si>
  <si>
    <t>Prêts bancaires</t>
  </si>
  <si>
    <t>Fonds propres</t>
  </si>
  <si>
    <t>…veuillez sélectionner la source de financement</t>
  </si>
  <si>
    <t>Nom du projet partiel (PP)</t>
  </si>
  <si>
    <t>Date</t>
  </si>
  <si>
    <t xml:space="preserve">Orientation </t>
  </si>
  <si>
    <t xml:space="preserve">Type de projet </t>
  </si>
  <si>
    <t>Type de porteur de projet</t>
  </si>
  <si>
    <t>Unité d'observation de la planification financière</t>
  </si>
  <si>
    <t>Instructions</t>
  </si>
  <si>
    <t>2. Hypothèses</t>
  </si>
  <si>
    <t>3. Remplir le compte des résultats</t>
  </si>
  <si>
    <t>Reporter les chiffres issus des hypothèses dans le compte des résultats</t>
  </si>
  <si>
    <t>ne remplir que les champs jaunes</t>
  </si>
  <si>
    <t>Cellule avec menu déroulant</t>
  </si>
  <si>
    <t>Taux de contribution définitif de la Confédération</t>
  </si>
  <si>
    <t>Investissement</t>
  </si>
  <si>
    <t>Total des coûts d'investissement</t>
  </si>
  <si>
    <t>Situation de l'exploitation</t>
  </si>
  <si>
    <t>Mesure</t>
  </si>
  <si>
    <t>N° de la mesure</t>
  </si>
  <si>
    <t>coûts ne donnant pas droit à une contribution</t>
  </si>
  <si>
    <t>coûts donnant droit à une contribution</t>
  </si>
  <si>
    <t>Réduction des coûts donnant droit à une contribution</t>
  </si>
  <si>
    <t>Coûts déterminants donnant droit à une contribution</t>
  </si>
  <si>
    <t>Bonus pour le type de PDR</t>
  </si>
  <si>
    <t>Participation minimale du canton à la contribution fédérale</t>
  </si>
  <si>
    <t xml:space="preserve">Taux des contributions du canton  
</t>
  </si>
  <si>
    <t>Total des contributions publiques</t>
  </si>
  <si>
    <t>Part des coûts d'investissement</t>
  </si>
  <si>
    <t>Total du financement du solde</t>
  </si>
  <si>
    <t>Investissement 1 (p. ex. local de vente)</t>
  </si>
  <si>
    <t>Investissement 2</t>
  </si>
  <si>
    <t>…veuillez sélectionner la mesure</t>
  </si>
  <si>
    <t>Investissement 3</t>
  </si>
  <si>
    <t>Investissement 4</t>
  </si>
  <si>
    <t>Investissement 5</t>
  </si>
  <si>
    <t>Investissement 6</t>
  </si>
  <si>
    <t>Investissement 7</t>
  </si>
  <si>
    <t>Investissement 8</t>
  </si>
  <si>
    <t>Total</t>
  </si>
  <si>
    <t>Résultat annuel net</t>
  </si>
  <si>
    <t>Cashflow provenant de l'activité (cumulé)</t>
  </si>
  <si>
    <t>CHF</t>
  </si>
  <si>
    <t>Indicateur</t>
  </si>
  <si>
    <t>Unité de mesure</t>
  </si>
  <si>
    <t>Date n</t>
  </si>
  <si>
    <t>n+2 cible</t>
  </si>
  <si>
    <t>n+2 réel</t>
  </si>
  <si>
    <t>n+4 cible</t>
  </si>
  <si>
    <t>n+4 réel</t>
  </si>
  <si>
    <t>n+6 cible</t>
  </si>
  <si>
    <t>n+6 réel</t>
  </si>
  <si>
    <t>Part du résultat total</t>
  </si>
  <si>
    <t>n = année précédente</t>
  </si>
  <si>
    <t>n+3</t>
  </si>
  <si>
    <t>n+4</t>
  </si>
  <si>
    <t>n+5</t>
  </si>
  <si>
    <t>1re année après la mise en oeuvre</t>
  </si>
  <si>
    <t>...Autres recettes</t>
  </si>
  <si>
    <t>…</t>
  </si>
  <si>
    <t xml:space="preserve">Marge brute </t>
  </si>
  <si>
    <t>Marge brute après les charges de personnel</t>
  </si>
  <si>
    <t xml:space="preserve">charges non directement imputables </t>
  </si>
  <si>
    <t>% de l'exploitation totale</t>
  </si>
  <si>
    <t>Bail à loyer / bail à ferme / coûts immobiliers</t>
  </si>
  <si>
    <t>Entretien, réparation, remplacement des immobilisations corporelles meubles</t>
  </si>
  <si>
    <t>Frais de véhicule et de transport</t>
  </si>
  <si>
    <t>Assurance mobilière</t>
  </si>
  <si>
    <t>Électricité, énergie et coûts d'élimination des déchets</t>
  </si>
  <si>
    <t>Charges de gestion et de publicité</t>
  </si>
  <si>
    <t>Autres charges de fonctionnement</t>
  </si>
  <si>
    <t>Amortissements</t>
  </si>
  <si>
    <t>Charges financières (intérêts)</t>
  </si>
  <si>
    <t>Stocks</t>
  </si>
  <si>
    <t>Impôts</t>
  </si>
  <si>
    <t>Résultat net cumulé</t>
  </si>
  <si>
    <t>Analyse de sensibilité</t>
  </si>
  <si>
    <t>Saisissez la valeur de "x" avec le signe +/-</t>
  </si>
  <si>
    <t>Evolution du revenu annuel de x%</t>
  </si>
  <si>
    <t>Evolution des charges directes annuelles de x%</t>
  </si>
  <si>
    <t>Evolution des frais de personnel annuels</t>
  </si>
  <si>
    <t>Evolution des coûts non imputables de x%.</t>
  </si>
  <si>
    <t xml:space="preserve">Charges de personnel </t>
  </si>
  <si>
    <t>(peuvent aussi être comptabilisées dans les charges directes)</t>
  </si>
  <si>
    <t>Aperçu de la planification des liquidités (cashflow)</t>
  </si>
  <si>
    <t>Investissement 9</t>
  </si>
  <si>
    <t>Cashflow provenant de l'activité</t>
  </si>
  <si>
    <t>Résultat avant intérêts, impôts, amortissements</t>
  </si>
  <si>
    <t>Variation des stocks (+ pour les baisses, - pour le hausses)</t>
  </si>
  <si>
    <t>Le cas échéant, corrections (+ provisions)</t>
  </si>
  <si>
    <t>Cashflow provenant des investissements</t>
  </si>
  <si>
    <t>Cashflow provenant des investissements (cumulé)</t>
  </si>
  <si>
    <t>Entrées de liquidités provenant des désinvestissements</t>
  </si>
  <si>
    <t>Sorties de liquidités pour les investissements</t>
  </si>
  <si>
    <t>Pouvoir d'investissement des activités opérationnelles (%)</t>
  </si>
  <si>
    <t>Cashflow provenant de l'activité de financement</t>
  </si>
  <si>
    <t>Cashflow provenant de l'activité de financement (cumulé)</t>
  </si>
  <si>
    <t>Flux monétaires par année</t>
  </si>
  <si>
    <t>Flux monétaires cumulés</t>
  </si>
  <si>
    <t>1) Investissements &amp; source de financement</t>
  </si>
  <si>
    <t>Total des investissements</t>
  </si>
  <si>
    <t>Total des amortissements</t>
  </si>
  <si>
    <t>Total des frais d'entretien</t>
  </si>
  <si>
    <t>Source de financement</t>
  </si>
  <si>
    <t>Somme de l'investissement</t>
  </si>
  <si>
    <t>% des investissements</t>
  </si>
  <si>
    <t>Explication des hypothèses</t>
  </si>
  <si>
    <t>Investissement 1</t>
  </si>
  <si>
    <t>Amortissement</t>
  </si>
  <si>
    <t xml:space="preserve"> - sans effet de trésorerie</t>
  </si>
  <si>
    <t>Entretien</t>
  </si>
  <si>
    <t>Taux d'entretien en %:</t>
  </si>
  <si>
    <t>2) Désinvestissements (vente)</t>
  </si>
  <si>
    <t>Désinvestissements</t>
  </si>
  <si>
    <t>Vente de xy</t>
  </si>
  <si>
    <t>Vente de yz</t>
  </si>
  <si>
    <t>Total des charges d'intérêts</t>
  </si>
  <si>
    <t>Taux d'intérêt (%)</t>
  </si>
  <si>
    <t>Financement du solde inconnu</t>
  </si>
  <si>
    <r>
      <rPr>
        <b/>
        <sz val="12"/>
        <color theme="7" tint="-0.249977111117893"/>
        <rFont val="Arial Narrow"/>
        <family val="2"/>
      </rPr>
      <t>Procédure possible pour l'utilisation du modèle de financement et de controlling</t>
    </r>
    <r>
      <rPr>
        <sz val="12"/>
        <rFont val="Arial Narrow"/>
        <family val="2"/>
      </rPr>
      <t xml:space="preserve">
</t>
    </r>
  </si>
  <si>
    <r>
      <t xml:space="preserve">Taux des contributions de la Confédération </t>
    </r>
    <r>
      <rPr>
        <b/>
        <sz val="12"/>
        <color theme="1"/>
        <rFont val="Arial Narrow"/>
        <family val="2"/>
      </rPr>
      <t>sans</t>
    </r>
    <r>
      <rPr>
        <sz val="12"/>
        <color theme="1"/>
        <rFont val="Arial Narrow"/>
        <family val="2"/>
      </rPr>
      <t xml:space="preserve"> bonus PDR</t>
    </r>
  </si>
  <si>
    <r>
      <t xml:space="preserve">Taux des contributions de la Confédération </t>
    </r>
    <r>
      <rPr>
        <b/>
        <sz val="12"/>
        <color theme="1"/>
        <rFont val="Arial Narrow"/>
        <family val="2"/>
      </rPr>
      <t xml:space="preserve">avec </t>
    </r>
    <r>
      <rPr>
        <sz val="12"/>
        <color theme="1"/>
        <rFont val="Arial Narrow"/>
        <family val="2"/>
      </rPr>
      <t>bonus PDR</t>
    </r>
  </si>
  <si>
    <r>
      <t xml:space="preserve">Rapport final </t>
    </r>
    <r>
      <rPr>
        <b/>
        <sz val="12"/>
        <color theme="1"/>
        <rFont val="Arial Narrow"/>
        <family val="2"/>
      </rPr>
      <t>investissement effectif</t>
    </r>
  </si>
  <si>
    <r>
      <t xml:space="preserve">Rapport final </t>
    </r>
    <r>
      <rPr>
        <b/>
        <sz val="12"/>
        <color theme="1"/>
        <rFont val="Arial Narrow"/>
        <family val="2"/>
      </rPr>
      <t xml:space="preserve">contribution fédérale effective </t>
    </r>
  </si>
  <si>
    <t xml:space="preserve">Contribution 	fédérale	</t>
  </si>
  <si>
    <r>
      <t xml:space="preserve">Rapport intermédiaire </t>
    </r>
    <r>
      <rPr>
        <b/>
        <sz val="12"/>
        <color theme="1"/>
        <rFont val="Arial Narrow"/>
        <family val="2"/>
      </rPr>
      <t>investissement effectif 1</t>
    </r>
  </si>
  <si>
    <r>
      <t xml:space="preserve">Rapport intermédiaire </t>
    </r>
    <r>
      <rPr>
        <b/>
        <sz val="12"/>
        <color theme="1"/>
        <rFont val="Arial Narrow"/>
        <family val="2"/>
      </rPr>
      <t>contribution fédérale effective 1</t>
    </r>
  </si>
  <si>
    <r>
      <t xml:space="preserve">Rapport intermédiaire </t>
    </r>
    <r>
      <rPr>
        <b/>
        <sz val="12"/>
        <color theme="1"/>
        <rFont val="Arial Narrow"/>
        <family val="2"/>
      </rPr>
      <t>investissement effectif 2</t>
    </r>
  </si>
  <si>
    <r>
      <t xml:space="preserve">Rapport intermédiaire </t>
    </r>
    <r>
      <rPr>
        <b/>
        <sz val="12"/>
        <color theme="1"/>
        <rFont val="Arial Narrow"/>
        <family val="2"/>
      </rPr>
      <t>contribution fédérale effective 2</t>
    </r>
  </si>
  <si>
    <r>
      <t xml:space="preserve">Revenu </t>
    </r>
    <r>
      <rPr>
        <sz val="14"/>
        <rFont val="Arial Narrow"/>
        <family val="2"/>
      </rPr>
      <t>(des ventes, services, PDir, etc.)</t>
    </r>
  </si>
  <si>
    <r>
      <t xml:space="preserve">Charges directes </t>
    </r>
    <r>
      <rPr>
        <sz val="14"/>
        <rFont val="Arial Narrow"/>
        <family val="2"/>
      </rPr>
      <t>(charges pour la matériel, les marchandises, les prestations de tiers)</t>
    </r>
  </si>
  <si>
    <r>
      <t>EBITDA</t>
    </r>
    <r>
      <rPr>
        <i/>
        <sz val="14"/>
        <color theme="1"/>
        <rFont val="Arial Narrow"/>
        <family val="2"/>
      </rPr>
      <t xml:space="preserve"> (Résultat avant intérêts, impôts et amortissements)</t>
    </r>
  </si>
  <si>
    <r>
      <t xml:space="preserve">EBIT </t>
    </r>
    <r>
      <rPr>
        <i/>
        <sz val="14"/>
        <color theme="1"/>
        <rFont val="Arial Narrow"/>
        <family val="2"/>
      </rPr>
      <t>(Résultat avant intérêts et impôts)</t>
    </r>
  </si>
  <si>
    <r>
      <t xml:space="preserve">EBT </t>
    </r>
    <r>
      <rPr>
        <i/>
        <sz val="14"/>
        <color theme="1"/>
        <rFont val="Arial Narrow"/>
        <family val="2"/>
      </rPr>
      <t>(Résultat avant impôts)</t>
    </r>
  </si>
  <si>
    <t>Contribution communale</t>
  </si>
  <si>
    <t>Contribution cantonale effective</t>
  </si>
  <si>
    <t>Planification financière: Vue d'ensemble du projet partiel, étape de la documentation (ED)</t>
  </si>
  <si>
    <t>1. Vue d'ensemble</t>
  </si>
  <si>
    <t>Moulins</t>
  </si>
  <si>
    <t>Vignes</t>
  </si>
  <si>
    <t>Grandes cultures (y.c. centres de collecte de céréales)</t>
  </si>
  <si>
    <t>Création_et_développement_d’activités_dans_l’exploitation_agricole</t>
  </si>
  <si>
    <t>Agritourisme:Hébergement, restauration, évènements</t>
  </si>
  <si>
    <t>Transformation et stockage</t>
  </si>
  <si>
    <t xml:space="preserve">Vente </t>
  </si>
  <si>
    <t>Charges extraordinaires</t>
  </si>
  <si>
    <t>Revenu extraordinaire</t>
  </si>
  <si>
    <t>Contribution cantonale sans bonus PDR</t>
  </si>
  <si>
    <t>Bâtiments alpestres</t>
  </si>
  <si>
    <t>ZM II - IV, région d'estivage</t>
  </si>
  <si>
    <t>… veuillez sélectionner l’origine</t>
  </si>
  <si>
    <t>Région de montagne ou région d’estivage</t>
  </si>
  <si>
    <t>Collines</t>
  </si>
  <si>
    <t>Plaine</t>
  </si>
  <si>
    <t>Origine de matière première</t>
  </si>
  <si>
    <t>% de la part de l’origine par rapport à la quantité totale transformée</t>
  </si>
  <si>
    <t>Gesamter Betrieb</t>
  </si>
  <si>
    <t>Betriebszweig</t>
  </si>
  <si>
    <t>Produktion</t>
  </si>
  <si>
    <t>Verarbeitung und Vermarktung</t>
  </si>
  <si>
    <t>Aufbau und Weiterentwicklung Betriebszweig auf LW Betrieb &amp; Produktion</t>
  </si>
  <si>
    <t>EBITDA</t>
  </si>
  <si>
    <t xml:space="preserve"> </t>
  </si>
  <si>
    <t>Chiffre d'affairs</t>
  </si>
  <si>
    <t>Prix</t>
  </si>
  <si>
    <t>Quantité</t>
  </si>
  <si>
    <t>Charges
n = année précédente</t>
  </si>
  <si>
    <t>Quantité
n = année précédente</t>
  </si>
  <si>
    <t>Pourcentage en équivalents temps plein</t>
  </si>
  <si>
    <t>Facteur d'endettement</t>
  </si>
  <si>
    <t>% en décimales</t>
  </si>
  <si>
    <t>Controlling &amp; Monitoring</t>
  </si>
  <si>
    <t>projet partiel (PP)</t>
  </si>
  <si>
    <t>Orientation</t>
  </si>
  <si>
    <t>remplir pour toutes les années</t>
  </si>
  <si>
    <t>Intérêt</t>
  </si>
  <si>
    <t>Vue d'ensemble des sources de financement</t>
  </si>
  <si>
    <t>Total des prêts de tiers</t>
  </si>
  <si>
    <t>Total financement</t>
  </si>
  <si>
    <t>cumulé</t>
  </si>
  <si>
    <t>annuel</t>
  </si>
  <si>
    <t>Flux monétaires par année de l'activité + couts de financement</t>
  </si>
  <si>
    <t>Entrées de liquidités provenant du financement (y.c. remboursement)</t>
  </si>
  <si>
    <t>Sorties de liquidités à partir du financement (intérêts)</t>
  </si>
  <si>
    <t>5. Remplir le CME</t>
  </si>
  <si>
    <t xml:space="preserve">Vérifier les indicateurs et compléter les valeurs manquantes </t>
  </si>
  <si>
    <t>Valeur de départ</t>
  </si>
  <si>
    <t>A) Aperçu du financement, y compris le calcul des contributions publiques</t>
  </si>
  <si>
    <t>Montant dans la 1re année après la mise en oeuvre</t>
  </si>
  <si>
    <t>années</t>
  </si>
  <si>
    <t>Control avec calcul des contributions</t>
  </si>
  <si>
    <t>Controlling et monitoring</t>
  </si>
  <si>
    <r>
      <rPr>
        <b/>
        <sz val="12"/>
        <color theme="7" tint="-0.249977111117893"/>
        <rFont val="Arial Narrow"/>
        <family val="2"/>
      </rPr>
      <t>*Explications supplémentaires sur le type de PDR, orientation et type de projet:</t>
    </r>
    <r>
      <rPr>
        <sz val="12"/>
        <rFont val="Arial Narrow"/>
        <family val="2"/>
      </rPr>
      <t xml:space="preserve">
</t>
    </r>
    <r>
      <rPr>
        <b/>
        <sz val="12"/>
        <rFont val="Arial Narrow"/>
        <family val="2"/>
      </rPr>
      <t>Type de PDR</t>
    </r>
    <r>
      <rPr>
        <sz val="12"/>
        <rFont val="Arial Narrow"/>
        <family val="2"/>
      </rPr>
      <t xml:space="preserve">: orienté sur la chaîne de création de valeur ou intersectioriel selon art. 11a, al. 2 de l'OAS.
</t>
    </r>
    <r>
      <rPr>
        <b/>
        <sz val="12"/>
        <rFont val="Arial Narrow"/>
        <family val="2"/>
      </rPr>
      <t>Orientation et type de projet</t>
    </r>
    <r>
      <rPr>
        <sz val="12"/>
        <rFont val="Arial Narrow"/>
        <family val="2"/>
      </rPr>
      <t>: dans le cadre des projets PDR, on distingue 5 orientations différentes avec leurs types de projets ; c'est la base du traitement interne des données par l'OFAG. Un PDR doit comporter au moins 3 projets partiels d'orientation différente, la "direction du PDR" n'étant pas considérée comme un projet partiel à part entière.Les promoteurs de projets qui appartiennent exclusivement à une exploitation agricole en particulier doivent choisir l’orientation «Création et développement d’activités dans l’exploitation agricole». Tous les autres promoteurs de projets doivent choisir l’orientation et le type de projet correspondant le mieux possible à l’investissement, notamment à l’investissement public prévu. Lorsqu’un projet fait appel à des investissements dans plusieurs types de projet, il faut choisir le type qui générera le chiffre d’affaires le plus important.
1. Production: fruits et légumes, culture des champs (y.c. centres de collecte de céréales), vin, lait, engraissement, alpage (lait, engraissement, étable), divers.
2. Transformation: transformation F&amp;L, moulins, vinification, lait, viande, alpage, divers.
3. Commercialisation: vente, logistique &amp; stockage, restauration, communication / marketing, divers.
4. Création et développement d’activités dans l’exploitation agricole: agritourisme (hébergement, restauration, évènements), transformation et stockage, vente directe, offres pédagogiques, énergies renouvelables, divers.
5. Autres: mise en valeur de la région, direction du PDR (ne compte pas comme un PP).</t>
    </r>
  </si>
  <si>
    <t>A remplir en premier et à compléter avec les éléments contenus dans les autres onglets au besoin</t>
  </si>
  <si>
    <t>Explication détaillée des hypothèses reprises dans le compte de résultat</t>
  </si>
  <si>
    <t>Reprendre les contributions publiques du calcul des contributions</t>
  </si>
  <si>
    <t>si la taille de la police est trop petite: augmenter la fonction "affichage" à 100% (en bas à droite dans la barre de fonction grise d'Excel en déplaçant le curseur vers le signe +)</t>
  </si>
  <si>
    <t>Planification financière: compte de résultats</t>
  </si>
  <si>
    <t>Aperçu du compte des résultats planifiés [CHF]</t>
  </si>
  <si>
    <t xml:space="preserve">Le Controlling &amp; Monitoring (CME) sert d'instrument de pilotage et de vérification pour les responsables du projet PDR. Il permet de comparer les valeurs cibles et les valeurs réelles et d'interpréter les écarts. En fonction de la sélection effectuée dans la feuille 'Vue d'ensemble' concernant l'orientation, le type de projet et l'exploitation/la branche d'exploitation, les indicateurs obligatoires pour le projet partiel sont listés dans cette feuille. Dans la colonne N, il est indiqué si les valeurs doivent être relevées uniquement la dernière année (n+6) ou lors de chaque année de référence (tous les 2 ans). Les données de prix et de quantité du compte de résultats sont automatiquement insérées ici dans la grille CME. Pour les produits supplémentaires, ces données doivent être saisies manuellement dans la grille CME. En complément d'autres indicateurs peuvent être mentionnés volontairement (dans les domaines de l'environnement, de la valorisation de la région et ou des aspects sociaux). La colonne G est particulièrement importante. La valeur de départ de chaque indicateur doit y être indiquée avant le lancement de la phase de mise en œuvre. Dans l'Excel "Vue d'ensemble Coûts_indicateurs (étape de la documentation)", les informations CME de tous les sous-projets du PDR doivent être compilés et actualisées et remis à l'OFAG avec les rapports intermédiaires et le rapport final. </t>
  </si>
  <si>
    <t>EXEMPLE: planification financière et hypothèses constitutives du compte des résultats</t>
  </si>
  <si>
    <r>
      <t xml:space="preserve">INSTRUCTIONS 
* </t>
    </r>
    <r>
      <rPr>
        <sz val="12"/>
        <rFont val="Arial Narrow"/>
        <family val="2"/>
      </rPr>
      <t xml:space="preserve">Cette feuille Excel est une </t>
    </r>
    <r>
      <rPr>
        <b/>
        <sz val="12"/>
        <rFont val="Arial Narrow"/>
        <family val="2"/>
      </rPr>
      <t>suggestion / un exemple</t>
    </r>
    <r>
      <rPr>
        <sz val="12"/>
        <rFont val="Arial Narrow"/>
        <family val="2"/>
      </rPr>
      <t xml:space="preserve"> de présentation des hypothèses qui composent le compte de résultats. Il est possible de modifier cette feuille Excel mais dans ce cas le calcul </t>
    </r>
    <r>
      <rPr>
        <sz val="12"/>
        <color rgb="FFFF0000"/>
        <rFont val="Arial Narrow"/>
        <family val="2"/>
      </rPr>
      <t>des chiffres qui composent luecompte de résultats doit être</t>
    </r>
    <r>
      <rPr>
        <sz val="12"/>
        <rFont val="Arial Narrow"/>
        <family val="2"/>
      </rPr>
      <t xml:space="preserve"> compréhensible et précis.</t>
    </r>
  </si>
  <si>
    <t>Unité d'observation : l'ensemble de l'exploitation ou uniquement la nouvelle branche d'exploitation</t>
  </si>
  <si>
    <t>Planification financière: planification des investissements et du financement</t>
  </si>
  <si>
    <t>Planification financière: Apércu des liquidités</t>
  </si>
  <si>
    <r>
      <t xml:space="preserve">* </t>
    </r>
    <r>
      <rPr>
        <sz val="14"/>
        <rFont val="Arial Narrow"/>
        <family val="2"/>
      </rPr>
      <t xml:space="preserve">Ce tableau est rempli automatiquement avec les informations du tableau "Sources de financement". Si des variations de liquidités supplémentaires sont attendues, les montants correspondants peuvent être indroduits dans les cellules surlignées en jaune.
</t>
    </r>
  </si>
  <si>
    <t>4. Sources de financement, Aperçu liquidités</t>
  </si>
  <si>
    <r>
      <t xml:space="preserve">n+2
</t>
    </r>
    <r>
      <rPr>
        <sz val="12"/>
        <color theme="1"/>
        <rFont val="Arial Narrow"/>
        <family val="2"/>
      </rPr>
      <t>(deuxième année)</t>
    </r>
  </si>
  <si>
    <r>
      <t xml:space="preserve">n+6
</t>
    </r>
    <r>
      <rPr>
        <sz val="12"/>
        <color theme="1"/>
        <rFont val="Arial Narrow"/>
        <family val="2"/>
      </rPr>
      <t>(dernière année du PDR)</t>
    </r>
  </si>
  <si>
    <r>
      <t xml:space="preserve">n + 1
</t>
    </r>
    <r>
      <rPr>
        <sz val="12"/>
        <color theme="1"/>
        <rFont val="Arial Narrow"/>
        <family val="2"/>
      </rPr>
      <t>(1ère année du PDR)</t>
    </r>
  </si>
  <si>
    <r>
      <rPr>
        <sz val="12"/>
        <rFont val="Arial Narrow"/>
        <family val="2"/>
      </rPr>
      <t xml:space="preserve">* </t>
    </r>
    <r>
      <rPr>
        <b/>
        <sz val="12"/>
        <rFont val="Arial Narrow"/>
        <family val="2"/>
      </rPr>
      <t>Ouvrir entièrement la feuille Excel:</t>
    </r>
    <r>
      <rPr>
        <sz val="12"/>
        <rFont val="Arial Narrow"/>
        <family val="2"/>
      </rPr>
      <t xml:space="preserve"> en cliquant sur les signes "+" dans la marge grise à gauche du fichier Excel (à côté des titres des lignes/colonnes), vous pouvez ouvrir la feuille entière ou la refermer avec le signe "-"*
* Veuillez reporter les hypothèses de quantité et de prix dans le compte de résultats (colonnes L-O).
* Complétez les cases surlignées en jaune --&gt; à la ligne 8, remplacer les dénominations  (n, n+1, etc.) par les années effectives du PDR. Commencer par l'année avant la réalisation du PDR (Cellule C8). Faire ensuire de même pour les années suivantes (cellules D8 à J8).
* Les informations sur les prix et les quantités sont importantes pour l'estimation de la valeur ajoutée du projet. Ces données sont reportées directement dans le tableau CME.
</t>
    </r>
  </si>
  <si>
    <r>
      <rPr>
        <b/>
        <sz val="12"/>
        <color theme="7" tint="-0.249977111117893"/>
        <rFont val="Arial Narrow"/>
        <family val="2"/>
      </rPr>
      <t xml:space="preserve">Observations générales
</t>
    </r>
    <r>
      <rPr>
        <b/>
        <sz val="12"/>
        <rFont val="Arial Narrow"/>
        <family val="2"/>
      </rPr>
      <t>* Des explications plus détaillées se trouvent dans les différents onglets que contient ce classeur.
Remarque :</t>
    </r>
    <r>
      <rPr>
        <sz val="12"/>
        <rFont val="Arial Narrow"/>
        <family val="2"/>
      </rPr>
      <t xml:space="preserve"> les feuilles "Vue d'ensemble", "Compte de résultats", "Sources de financement", "Aperçu liquidités" et "CME" doivent également être complétées. La constiution du compte des résultats, c'est-à-dire les hypothèses qui sous-tendent les chiffres énoncés, doit être facilement et simplement compréhensible lors de l'examen. La feuille "Exemples d'hypothèses" comprend des exemples d'hypothèses, mais elle peut aussi être modifiée et personnalisée. Les valeurs des hypothèses et celles de la feuille "Liquidité, planification I &amp; F" doivernt être reprises dans le compte de résultats (lignes jaunes)*
* </t>
    </r>
    <r>
      <rPr>
        <b/>
        <sz val="12"/>
        <rFont val="Arial Narrow"/>
        <family val="2"/>
      </rPr>
      <t>Ouvrir entièrement la feuille Excel</t>
    </r>
    <r>
      <rPr>
        <sz val="12"/>
        <rFont val="Arial Narrow"/>
        <family val="2"/>
      </rPr>
      <t xml:space="preserve">: en cliquant sur les signes "+" dans la marge grise à gauche du fichier Excel (à côté des titres des lignes/colonnes), cela vous permettra d'ouvrir la feuille entière ou d'en fermer des parties avec le signe "-"
</t>
    </r>
    <r>
      <rPr>
        <b/>
        <sz val="32"/>
        <color theme="7" tint="-0.249977111117893"/>
        <rFont val="Arial Narrow"/>
        <family val="2"/>
      </rPr>
      <t/>
    </r>
  </si>
  <si>
    <r>
      <t>* Ouvrir entièrement la feuille Excel</t>
    </r>
    <r>
      <rPr>
        <sz val="14"/>
        <rFont val="Arial Narrow"/>
        <family val="2"/>
      </rPr>
      <t>: en cliquant sur les signes "+" dans la marge grise à gauche du fichier Excel (à côté du numéro de la ligne à gauche), vous pouvez ouvrir les calculs ou les refermer avec le signe "-"
*</t>
    </r>
    <r>
      <rPr>
        <sz val="14"/>
        <color rgb="FFFF0000"/>
        <rFont val="Arial Narrow"/>
        <family val="2"/>
      </rPr>
      <t xml:space="preserve"> </t>
    </r>
    <r>
      <rPr>
        <sz val="14"/>
        <rFont val="Arial Narrow"/>
        <family val="2"/>
      </rPr>
      <t xml:space="preserve">Les données de ce tableau seront automatiquement reportées dans l'ongle "Aperçu liquidités"
</t>
    </r>
    <r>
      <rPr>
        <b/>
        <sz val="14"/>
        <rFont val="Arial Narrow"/>
        <family val="2"/>
      </rPr>
      <t>1) Investissements</t>
    </r>
    <r>
      <rPr>
        <sz val="14"/>
        <rFont val="Arial Narrow"/>
        <family val="2"/>
      </rPr>
      <t>: entrer le montant de l'investissement, sélectionner ensuite la source de financement et indiquer le taux d'amortissement, d'intérêt et le taux d'entretien. Pour chaque source de financement, indiquer les entrées (+) et les remboursements (-) d'argent par an. Indiquez les remboursements avec un signe negatif (par ex. -20'000) dans la ligne de la source de financement correspondante.</t>
    </r>
    <r>
      <rPr>
        <sz val="14"/>
        <color rgb="FFFF0000"/>
        <rFont val="Arial Narrow"/>
        <family val="2"/>
      </rPr>
      <t xml:space="preserve"> </t>
    </r>
    <r>
      <rPr>
        <b/>
        <sz val="14"/>
        <rFont val="Arial Narrow"/>
        <family val="2"/>
      </rPr>
      <t>Remarque:</t>
    </r>
    <r>
      <rPr>
        <sz val="14"/>
        <rFont val="Arial Narrow"/>
        <family val="2"/>
      </rPr>
      <t xml:space="preserve"> 20% des contributions publiques ne sont payées que la dernière année de réalisation du PDR, après le décompte final général. Cette part doit donc être préfinancée via une autre source de financement. Elle ne sera remboursée que lors de la clôture de l'étape de mise en oeuvre. Le cas échéant, un crédit de consolidation peut être demandé au canton pour ce montant. Pour la partie de l'investissment qui est financé avec des contributions à fonds perdu, il ne faut pas calculer des amortissements.
</t>
    </r>
    <r>
      <rPr>
        <b/>
        <sz val="14"/>
        <rFont val="Arial Narrow"/>
        <family val="2"/>
      </rPr>
      <t>2) Désinvestissements: v</t>
    </r>
    <r>
      <rPr>
        <sz val="14"/>
        <rFont val="Arial Narrow"/>
        <family val="2"/>
      </rPr>
      <t xml:space="preserve">ente d'installations.
</t>
    </r>
  </si>
  <si>
    <t>Origine de la matière première transformée regionale (Annexe 5, al. 5 OAS)</t>
  </si>
  <si>
    <t>Région de montagne II-IV</t>
  </si>
  <si>
    <t>Région de montagne I</t>
  </si>
  <si>
    <t>L'exploitation ou la branche de production existait-il déjà avant le PDR?</t>
  </si>
  <si>
    <t>Région de plaine et ZC: Transformation, stockage et commercialisation en commun de produits agricoles régionaux (mesure individuelle)</t>
  </si>
  <si>
    <t>Région de plaine et ZC: Transformation, stockage et commercialisation en commun de produits agricoles régionaux (mesure collective)</t>
  </si>
  <si>
    <r>
      <t>Autres mesures dans l</t>
    </r>
    <r>
      <rPr>
        <sz val="11"/>
        <color theme="1"/>
        <rFont val="Arial"/>
        <family val="2"/>
      </rPr>
      <t>'intérêt du projet global (réduction min. 50%)</t>
    </r>
  </si>
  <si>
    <r>
      <t>Construction individuelle d</t>
    </r>
    <r>
      <rPr>
        <sz val="11"/>
        <color theme="1"/>
        <rFont val="Arial"/>
        <family val="2"/>
      </rPr>
      <t>'étables pour animaux consommant des fourrages grossiers</t>
    </r>
  </si>
  <si>
    <t>ZM I: Transformation, stockage et commercialisation en commun de produits agricoles régionaux (mesure individuelle)</t>
  </si>
  <si>
    <t>ZM I: Transformation, stockage et commercialisation en commun de produits agricoles régionaux (mesure collective)</t>
  </si>
  <si>
    <t>ZM II-IV: Transformation, stockage et commercialisation en commun de produits agricoles régionaux (mesure individuelle)</t>
  </si>
  <si>
    <t>ZM II-IV: Transformation, stockage et commercialisation en commun de produits agricoles régionaux (mesure collective)</t>
  </si>
  <si>
    <t>selon qu'il s'agit d'une mesure collective ou individuelle</t>
  </si>
  <si>
    <t>Plaines et collines</t>
  </si>
  <si>
    <t>TO 2024</t>
  </si>
  <si>
    <t xml:space="preserve">B) Calcul de contribution selon la transformation, stockage et commercialisation </t>
  </si>
  <si>
    <r>
      <t xml:space="preserve">- ce calcul est à remplir </t>
    </r>
    <r>
      <rPr>
        <sz val="12"/>
        <color rgb="FFFF0000"/>
        <rFont val="Arial Narrow"/>
        <family val="2"/>
      </rPr>
      <t>UNIQUEMENT pour la transformation, le stockage et la commercialisation communautaires/individuels  (mesure n° 3-8)</t>
    </r>
    <r>
      <rPr>
        <sz val="12"/>
        <rFont val="Arial Narrow"/>
        <family val="2"/>
      </rPr>
      <t xml:space="preserve">
- les données correspondantes sont automatiquement transférées du tableau de la section B) vers le tableau de la section A).
- Veuillez remplir une ligne par provenance de matière première
</t>
    </r>
    <r>
      <rPr>
        <sz val="12"/>
        <color rgb="FFFF0000"/>
        <rFont val="Arial Narrow"/>
        <family val="2"/>
      </rPr>
      <t xml:space="preserve">- </t>
    </r>
    <r>
      <rPr>
        <b/>
        <sz val="12"/>
        <color rgb="FFFF0000"/>
        <rFont val="Arial Narrow"/>
        <family val="2"/>
      </rPr>
      <t>Région d'estivage</t>
    </r>
    <r>
      <rPr>
        <sz val="12"/>
        <color rgb="FFFF0000"/>
        <rFont val="Arial Narrow"/>
        <family val="2"/>
      </rPr>
      <t xml:space="preserve">: des forfaits sont utilisés pour le calcul des contributions --&gt; veuillez reprendre du modèle Bâtiments ruraux (Annexe 5, al. 2 et 5 OAS).
</t>
    </r>
    <r>
      <rPr>
        <sz val="12"/>
        <rFont val="Arial Narrow"/>
        <family val="2"/>
      </rPr>
      <t xml:space="preserve">
</t>
    </r>
  </si>
  <si>
    <r>
      <t xml:space="preserve">- pour les </t>
    </r>
    <r>
      <rPr>
        <b/>
        <sz val="12"/>
        <color rgb="FFFF0000"/>
        <rFont val="Arial Narrow"/>
        <family val="2"/>
      </rPr>
      <t>mesures de transformation collective/individuelle (mesure n° 3-8)</t>
    </r>
    <r>
      <rPr>
        <sz val="12"/>
        <rFont val="Arial Narrow"/>
        <family val="2"/>
      </rPr>
      <t xml:space="preserve"> : veuillez n'indiquer ici que jusqu'à la colonne F "coûts non subventionnés" incluse, puis remplir le tableau de la section B). Les données seront alors automatiquement reportées dans ce tableau
- Les formulaires de calcul pour la construction de bâtiments peuvent être utilisés pour calculer les aides à l’investissement pour les mesures de construction de bâtiments : No. 41, 47, 73, (disponibles en ligne) --&gt; veuillez reporter la contribution cantonale dans la colonne" Contribution cantonale sans bonus PDR » et fournir le formulaire de calcul en annexe.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</si>
</sst>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51" x14ac:knownFonts="1">
    <font>
      <sz val="11"/>
      <color theme="1"/>
      <name val="Arial"/>
      <family val="2"/>
    </font>
    <font>
      <sz val="11"/>
      <color theme="1"/>
      <name val="Arial"/>
      <family val="2"/>
    </font>
    <font>
      <sz val="11"/>
      <color theme="1"/>
      <name val="Arial Narrow"/>
      <family val="2"/>
    </font>
    <font>
      <sz val="10"/>
      <color theme="1"/>
      <name val="Arial Narrow"/>
      <family val="2"/>
    </font>
    <font>
      <b/>
      <sz val="11"/>
      <color theme="1"/>
      <name val="Arial Narrow"/>
      <family val="2"/>
    </font>
    <font>
      <b/>
      <sz val="10"/>
      <name val="Arial Narrow"/>
      <family val="2"/>
    </font>
    <font>
      <sz val="11"/>
      <color rgb="FF00B050"/>
      <name val="Arial Narrow"/>
      <family val="2"/>
    </font>
    <font>
      <sz val="10"/>
      <color rgb="FFFF0000"/>
      <name val="Arial Narrow"/>
      <family val="2"/>
    </font>
    <font>
      <sz val="11"/>
      <color rgb="FFFF0000"/>
      <name val="Arial Narrow"/>
      <family val="2"/>
    </font>
    <font>
      <sz val="10"/>
      <name val="Arial Narrow"/>
      <family val="2"/>
    </font>
    <font>
      <b/>
      <sz val="11"/>
      <name val="Arial Narrow"/>
      <family val="2"/>
    </font>
    <font>
      <sz val="11"/>
      <name val="Arial Narrow"/>
      <family val="2"/>
    </font>
    <font>
      <sz val="9"/>
      <color indexed="81"/>
      <name val="Segoe UI"/>
      <family val="2"/>
    </font>
    <font>
      <b/>
      <sz val="9"/>
      <color indexed="81"/>
      <name val="Segoe UI"/>
      <family val="2"/>
    </font>
    <font>
      <i/>
      <sz val="9"/>
      <name val="Arial Narrow"/>
      <family val="2"/>
    </font>
    <font>
      <b/>
      <sz val="12"/>
      <name val="Arial Narrow"/>
      <family val="2"/>
    </font>
    <font>
      <sz val="12"/>
      <name val="Arial Narrow"/>
      <family val="2"/>
    </font>
    <font>
      <sz val="12"/>
      <color rgb="FFFF0000"/>
      <name val="Arial Narrow"/>
      <family val="2"/>
    </font>
    <font>
      <b/>
      <sz val="12"/>
      <color theme="1"/>
      <name val="Arial Narrow"/>
      <family val="2"/>
    </font>
    <font>
      <sz val="12"/>
      <color theme="1"/>
      <name val="Arial Narrow"/>
      <family val="2"/>
    </font>
    <font>
      <sz val="11"/>
      <color theme="1"/>
      <name val="Frutiger 45"/>
      <family val="2"/>
    </font>
    <font>
      <b/>
      <sz val="16"/>
      <color theme="1"/>
      <name val="Arial Narrow"/>
      <family val="2"/>
    </font>
    <font>
      <sz val="16"/>
      <color theme="1"/>
      <name val="Arial Narrow"/>
      <family val="2"/>
    </font>
    <font>
      <sz val="12"/>
      <color rgb="FF7030A0"/>
      <name val="Arial Narrow"/>
      <family val="2"/>
    </font>
    <font>
      <sz val="9"/>
      <color theme="1"/>
      <name val="Arial Narrow"/>
      <family val="2"/>
    </font>
    <font>
      <sz val="12"/>
      <color theme="1"/>
      <name val="Arial Narrow"/>
      <family val="2"/>
    </font>
    <font>
      <b/>
      <sz val="16"/>
      <name val="Arial Narrow"/>
      <family val="2"/>
    </font>
    <font>
      <sz val="9"/>
      <color rgb="FF000000"/>
      <name val="Arial Narrow"/>
      <family val="2"/>
    </font>
    <font>
      <b/>
      <sz val="32"/>
      <color theme="7" tint="-0.249977111117893"/>
      <name val="Arial Narrow"/>
      <family val="2"/>
    </font>
    <font>
      <sz val="14"/>
      <color indexed="81"/>
      <name val="Segoe UI"/>
      <family val="2"/>
    </font>
    <font>
      <sz val="12"/>
      <color theme="1"/>
      <name val="Arial"/>
      <family val="2"/>
    </font>
    <font>
      <b/>
      <sz val="12"/>
      <color rgb="FFFF0000"/>
      <name val="Arial Narrow"/>
      <family val="2"/>
    </font>
    <font>
      <b/>
      <i/>
      <sz val="12"/>
      <color theme="1"/>
      <name val="Arial Narrow"/>
      <family val="2"/>
    </font>
    <font>
      <b/>
      <sz val="12"/>
      <color theme="7" tint="-0.249977111117893"/>
      <name val="Arial Narrow"/>
      <family val="2"/>
    </font>
    <font>
      <b/>
      <sz val="12"/>
      <color indexed="8"/>
      <name val="Arial Narrow"/>
      <family val="2"/>
    </font>
    <font>
      <sz val="12"/>
      <color theme="1"/>
      <name val="Frutiger 45"/>
      <family val="2"/>
    </font>
    <font>
      <sz val="12"/>
      <color indexed="8"/>
      <name val="Arial Narrow"/>
      <family val="2"/>
    </font>
    <font>
      <sz val="10"/>
      <color indexed="81"/>
      <name val="Segoe UI"/>
      <family val="2"/>
    </font>
    <font>
      <b/>
      <sz val="14"/>
      <name val="Arial Narrow"/>
      <family val="2"/>
    </font>
    <font>
      <sz val="14"/>
      <name val="Arial Narrow"/>
      <family val="2"/>
    </font>
    <font>
      <sz val="14"/>
      <color theme="1"/>
      <name val="Arial Narrow"/>
      <family val="2"/>
    </font>
    <font>
      <sz val="14"/>
      <color rgb="FF7030A0"/>
      <name val="Arial Narrow"/>
      <family val="2"/>
    </font>
    <font>
      <b/>
      <i/>
      <sz val="14"/>
      <color theme="1"/>
      <name val="Arial Narrow"/>
      <family val="2"/>
    </font>
    <font>
      <i/>
      <sz val="14"/>
      <color theme="1"/>
      <name val="Arial Narrow"/>
      <family val="2"/>
    </font>
    <font>
      <b/>
      <sz val="14"/>
      <color theme="1"/>
      <name val="Arial Narrow"/>
      <family val="2"/>
    </font>
    <font>
      <b/>
      <sz val="11"/>
      <color theme="1"/>
      <name val="Arial"/>
      <family val="2"/>
    </font>
    <font>
      <b/>
      <sz val="12"/>
      <color theme="1"/>
      <name val="Arial"/>
      <family val="2"/>
    </font>
    <font>
      <sz val="14"/>
      <color rgb="FFFF0000"/>
      <name val="Arial Narrow"/>
      <family val="2"/>
    </font>
    <font>
      <sz val="11"/>
      <color rgb="FF7030A0"/>
      <name val="Arial Narrow"/>
      <family val="2"/>
    </font>
    <font>
      <sz val="12"/>
      <name val="Arial Narrow"/>
      <family val="2"/>
    </font>
    <font>
      <sz val="12"/>
      <color rgb="FF7030A0"/>
      <name val="Arial Narrow"/>
      <family val="2"/>
    </font>
  </fonts>
  <fills count="1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5"/>
      </patternFill>
    </fill>
    <fill>
      <patternFill patternType="solid">
        <fgColor rgb="FFFFFFCC"/>
        <bgColor theme="9" tint="0.79998168889431442"/>
      </patternFill>
    </fill>
    <fill>
      <patternFill patternType="solid">
        <fgColor rgb="FFFFFF00"/>
        <bgColor indexed="64"/>
      </patternFill>
    </fill>
    <fill>
      <patternFill patternType="solid">
        <fgColor rgb="FFDDEBF7"/>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10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dotted">
        <color indexed="64"/>
      </bottom>
      <diagonal/>
    </border>
    <border>
      <left/>
      <right/>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dotted">
        <color indexed="64"/>
      </right>
      <top/>
      <bottom/>
      <diagonal/>
    </border>
    <border>
      <left/>
      <right style="dashed">
        <color auto="1"/>
      </right>
      <top/>
      <bottom/>
      <diagonal/>
    </border>
    <border>
      <left/>
      <right style="dashed">
        <color auto="1"/>
      </right>
      <top style="thin">
        <color indexed="64"/>
      </top>
      <bottom style="dotted">
        <color indexed="64"/>
      </bottom>
      <diagonal/>
    </border>
    <border>
      <left/>
      <right style="dotted">
        <color indexed="64"/>
      </right>
      <top style="thin">
        <color indexed="64"/>
      </top>
      <bottom style="double">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top/>
      <bottom style="double">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thin">
        <color indexed="64"/>
      </top>
      <bottom style="thin">
        <color indexed="64"/>
      </bottom>
      <diagonal/>
    </border>
    <border>
      <left style="dotted">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ck">
        <color theme="7" tint="0.79998168889431442"/>
      </left>
      <right/>
      <top style="thick">
        <color theme="7" tint="0.79998168889431442"/>
      </top>
      <bottom/>
      <diagonal/>
    </border>
    <border>
      <left/>
      <right/>
      <top style="thick">
        <color theme="7" tint="0.79998168889431442"/>
      </top>
      <bottom/>
      <diagonal/>
    </border>
    <border>
      <left/>
      <right style="thick">
        <color theme="7" tint="0.79998168889431442"/>
      </right>
      <top style="thick">
        <color theme="7" tint="0.79998168889431442"/>
      </top>
      <bottom/>
      <diagonal/>
    </border>
    <border>
      <left/>
      <right/>
      <top/>
      <bottom style="thick">
        <color theme="7" tint="0.79998168889431442"/>
      </bottom>
      <diagonal/>
    </border>
    <border>
      <left/>
      <right style="thick">
        <color theme="7" tint="0.79998168889431442"/>
      </right>
      <top/>
      <bottom style="thick">
        <color theme="7" tint="0.79998168889431442"/>
      </bottom>
      <diagonal/>
    </border>
    <border>
      <left style="dotted">
        <color indexed="64"/>
      </left>
      <right/>
      <top style="thin">
        <color indexed="64"/>
      </top>
      <bottom style="dotted">
        <color indexed="64"/>
      </bottom>
      <diagonal/>
    </border>
    <border>
      <left style="dotted">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auto="1"/>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thin">
        <color indexed="64"/>
      </right>
      <top/>
      <bottom style="double">
        <color indexed="64"/>
      </bottom>
      <diagonal/>
    </border>
    <border>
      <left/>
      <right style="dotted">
        <color indexed="64"/>
      </right>
      <top style="dotted">
        <color indexed="64"/>
      </top>
      <bottom style="thin">
        <color indexed="64"/>
      </bottom>
      <diagonal/>
    </border>
    <border>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ashed">
        <color auto="1"/>
      </left>
      <right style="dotted">
        <color auto="1"/>
      </right>
      <top style="thin">
        <color indexed="64"/>
      </top>
      <bottom style="dotted">
        <color indexed="64"/>
      </bottom>
      <diagonal/>
    </border>
    <border>
      <left style="dashed">
        <color auto="1"/>
      </left>
      <right style="dotted">
        <color auto="1"/>
      </right>
      <top/>
      <bottom/>
      <diagonal/>
    </border>
    <border>
      <left style="thick">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rgb="FFA3A3A3"/>
      </left>
      <right style="medium">
        <color rgb="FFA3A3A3"/>
      </right>
      <top style="medium">
        <color rgb="FFA3A3A3"/>
      </top>
      <bottom style="medium">
        <color rgb="FFA3A3A3"/>
      </bottom>
      <diagonal/>
    </border>
    <border>
      <left style="dotted">
        <color indexed="64"/>
      </left>
      <right/>
      <top style="dotted">
        <color indexed="64"/>
      </top>
      <bottom style="dotted">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ck">
        <color theme="7" tint="0.79998168889431442"/>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auto="1"/>
      </top>
      <bottom/>
      <diagonal/>
    </border>
    <border>
      <left style="thin">
        <color indexed="64"/>
      </left>
      <right style="medium">
        <color indexed="64"/>
      </right>
      <top/>
      <bottom/>
      <diagonal/>
    </border>
    <border>
      <left style="dotted">
        <color indexed="64"/>
      </left>
      <right/>
      <top style="thin">
        <color indexed="64"/>
      </top>
      <bottom/>
      <diagonal/>
    </border>
    <border>
      <left style="thick">
        <color theme="7" tint="0.79998168889431442"/>
      </left>
      <right/>
      <top style="thin">
        <color indexed="64"/>
      </top>
      <bottom style="thick">
        <color theme="7" tint="0.79995117038483843"/>
      </bottom>
      <diagonal/>
    </border>
    <border>
      <left/>
      <right/>
      <top style="thin">
        <color indexed="64"/>
      </top>
      <bottom style="thick">
        <color theme="7" tint="0.79995117038483843"/>
      </bottom>
      <diagonal/>
    </border>
    <border>
      <left/>
      <right/>
      <top style="double">
        <color indexed="64"/>
      </top>
      <bottom/>
      <diagonal/>
    </border>
    <border>
      <left style="thin">
        <color auto="1"/>
      </left>
      <right/>
      <top style="dotted">
        <color auto="1"/>
      </top>
      <bottom style="dotted">
        <color auto="1"/>
      </bottom>
      <diagonal/>
    </border>
    <border>
      <left style="thin">
        <color indexed="64"/>
      </left>
      <right/>
      <top style="thin">
        <color indexed="64"/>
      </top>
      <bottom style="dotted">
        <color indexed="64"/>
      </bottom>
      <diagonal/>
    </border>
    <border>
      <left/>
      <right style="thick">
        <color theme="7" tint="0.79995117038483843"/>
      </right>
      <top style="thin">
        <color indexed="64"/>
      </top>
      <bottom style="thick">
        <color theme="7" tint="0.79995117038483843"/>
      </bottom>
      <diagonal/>
    </border>
    <border>
      <left style="dotted">
        <color indexed="64"/>
      </left>
      <right/>
      <top/>
      <bottom style="dotted">
        <color indexed="64"/>
      </bottom>
      <diagonal/>
    </border>
    <border>
      <left style="thin">
        <color indexed="64"/>
      </left>
      <right style="dotted">
        <color indexed="64"/>
      </right>
      <top style="thin">
        <color indexed="64"/>
      </top>
      <bottom style="double">
        <color indexed="64"/>
      </bottom>
      <diagonal/>
    </border>
  </borders>
  <cellStyleXfs count="5">
    <xf numFmtId="0" fontId="0" fillId="0" borderId="0"/>
    <xf numFmtId="9" fontId="1" fillId="0" borderId="0" applyFont="0" applyFill="0" applyBorder="0" applyAlignment="0" applyProtection="0"/>
    <xf numFmtId="0" fontId="1" fillId="8" borderId="48" applyNumberFormat="0" applyFont="0" applyAlignment="0" applyProtection="0"/>
    <xf numFmtId="0" fontId="1" fillId="7" borderId="0" applyNumberFormat="0" applyBorder="0" applyAlignment="0" applyProtection="0"/>
    <xf numFmtId="0" fontId="20" fillId="0" borderId="0"/>
  </cellStyleXfs>
  <cellXfs count="724">
    <xf numFmtId="0" fontId="0" fillId="0" borderId="0" xfId="0"/>
    <xf numFmtId="0" fontId="2" fillId="0" borderId="0" xfId="0" applyFont="1" applyAlignment="1" applyProtection="1">
      <alignment vertical="top"/>
      <protection locked="0"/>
    </xf>
    <xf numFmtId="0" fontId="19" fillId="0" borderId="0" xfId="0" applyFont="1" applyAlignment="1" applyProtection="1">
      <alignment vertical="center"/>
      <protection locked="0"/>
    </xf>
    <xf numFmtId="0" fontId="2" fillId="0" borderId="0" xfId="0" applyFont="1" applyProtection="1">
      <protection locked="0"/>
    </xf>
    <xf numFmtId="0" fontId="19" fillId="0" borderId="0" xfId="0" applyFont="1" applyAlignment="1" applyProtection="1">
      <alignment vertical="top" wrapText="1"/>
      <protection locked="0"/>
    </xf>
    <xf numFmtId="0" fontId="10"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1" fillId="0" borderId="0" xfId="0" applyFont="1" applyProtection="1">
      <protection locked="0"/>
    </xf>
    <xf numFmtId="0" fontId="11" fillId="0" borderId="0" xfId="0" applyFont="1" applyAlignment="1" applyProtection="1">
      <alignment vertical="top"/>
      <protection locked="0"/>
    </xf>
    <xf numFmtId="0" fontId="3" fillId="0" borderId="0" xfId="0" applyFont="1" applyAlignment="1" applyProtection="1">
      <alignment horizontal="left" vertical="center" indent="1"/>
      <protection locked="0"/>
    </xf>
    <xf numFmtId="0" fontId="1" fillId="0" borderId="0" xfId="3" applyFill="1" applyAlignment="1" applyProtection="1">
      <alignment horizontal="left" vertical="center"/>
      <protection locked="0"/>
    </xf>
    <xf numFmtId="0" fontId="19" fillId="0" borderId="0" xfId="0" applyFont="1" applyProtection="1">
      <protection locked="0"/>
    </xf>
    <xf numFmtId="0" fontId="21" fillId="2" borderId="0" xfId="0" applyFont="1" applyFill="1" applyAlignment="1" applyProtection="1">
      <alignment vertical="top"/>
      <protection locked="0"/>
    </xf>
    <xf numFmtId="0" fontId="22" fillId="0" borderId="0" xfId="0" applyFont="1" applyAlignment="1" applyProtection="1">
      <alignment vertical="top"/>
      <protection locked="0"/>
    </xf>
    <xf numFmtId="0" fontId="19" fillId="0" borderId="0" xfId="0" applyFont="1" applyAlignment="1" applyProtection="1">
      <alignment vertical="top"/>
      <protection locked="0"/>
    </xf>
    <xf numFmtId="9" fontId="16" fillId="0" borderId="2" xfId="1" applyFont="1" applyBorder="1" applyAlignment="1" applyProtection="1">
      <alignment vertical="top"/>
      <protection locked="0"/>
    </xf>
    <xf numFmtId="0" fontId="23" fillId="0" borderId="60" xfId="0" applyFont="1" applyBorder="1" applyAlignment="1" applyProtection="1">
      <alignment vertical="top"/>
      <protection locked="0"/>
    </xf>
    <xf numFmtId="9" fontId="19" fillId="0" borderId="0" xfId="1" applyFont="1" applyAlignment="1" applyProtection="1">
      <alignment vertical="top"/>
      <protection locked="0"/>
    </xf>
    <xf numFmtId="0" fontId="16" fillId="0" borderId="0" xfId="0" applyFont="1" applyProtection="1">
      <protection locked="0"/>
    </xf>
    <xf numFmtId="0" fontId="16" fillId="0" borderId="0" xfId="0" applyFont="1" applyAlignment="1">
      <alignment horizontal="left" vertical="top"/>
    </xf>
    <xf numFmtId="9" fontId="16" fillId="0" borderId="0" xfId="0" applyNumberFormat="1" applyFont="1" applyAlignment="1">
      <alignment horizontal="left" vertical="top"/>
    </xf>
    <xf numFmtId="0" fontId="16" fillId="0" borderId="0" xfId="0" applyFont="1" applyAlignment="1">
      <alignment vertical="top"/>
    </xf>
    <xf numFmtId="0" fontId="16" fillId="0" borderId="7" xfId="0" applyFont="1" applyBorder="1" applyAlignment="1">
      <alignment vertical="top"/>
    </xf>
    <xf numFmtId="0" fontId="15" fillId="0" borderId="0" xfId="0" applyFont="1" applyAlignment="1">
      <alignment vertical="top" wrapText="1"/>
    </xf>
    <xf numFmtId="0" fontId="15" fillId="0" borderId="0" xfId="0" applyFont="1" applyAlignment="1">
      <alignment vertical="top"/>
    </xf>
    <xf numFmtId="0" fontId="19" fillId="0" borderId="0" xfId="0" applyFont="1"/>
    <xf numFmtId="0" fontId="15" fillId="3" borderId="51" xfId="0" applyFont="1" applyFill="1" applyBorder="1" applyAlignment="1">
      <alignment vertical="top" wrapText="1"/>
    </xf>
    <xf numFmtId="0" fontId="16" fillId="0" borderId="51" xfId="0" applyFont="1" applyBorder="1" applyAlignment="1">
      <alignment vertical="top" wrapText="1"/>
    </xf>
    <xf numFmtId="9" fontId="16" fillId="0" borderId="51" xfId="1" applyFont="1" applyBorder="1" applyAlignment="1">
      <alignment vertical="top" wrapText="1"/>
    </xf>
    <xf numFmtId="0" fontId="15" fillId="3" borderId="1" xfId="0" applyFont="1" applyFill="1" applyBorder="1" applyAlignment="1">
      <alignment vertical="top" wrapText="1"/>
    </xf>
    <xf numFmtId="0" fontId="19" fillId="0" borderId="2" xfId="0" applyFont="1" applyBorder="1" applyAlignment="1">
      <alignment vertical="center" wrapText="1"/>
    </xf>
    <xf numFmtId="0" fontId="19" fillId="0" borderId="4" xfId="0" applyFont="1" applyBorder="1" applyAlignment="1">
      <alignment vertical="center" wrapText="1"/>
    </xf>
    <xf numFmtId="0" fontId="19" fillId="0" borderId="51" xfId="0" applyFont="1" applyBorder="1" applyAlignment="1">
      <alignment vertical="center" wrapText="1"/>
    </xf>
    <xf numFmtId="3" fontId="19" fillId="0" borderId="60" xfId="0" applyNumberFormat="1" applyFont="1" applyBorder="1" applyAlignment="1">
      <alignment vertical="top"/>
    </xf>
    <xf numFmtId="3" fontId="19" fillId="0" borderId="50" xfId="0" applyNumberFormat="1" applyFont="1" applyBorder="1"/>
    <xf numFmtId="3" fontId="19" fillId="0" borderId="60" xfId="0" applyNumberFormat="1" applyFont="1" applyBorder="1"/>
    <xf numFmtId="0" fontId="19" fillId="3" borderId="2" xfId="0" applyFont="1" applyFill="1" applyBorder="1" applyAlignment="1">
      <alignment vertical="center" wrapText="1"/>
    </xf>
    <xf numFmtId="0" fontId="19" fillId="0" borderId="0" xfId="0" applyFont="1" applyAlignment="1">
      <alignment vertical="center" wrapText="1"/>
    </xf>
    <xf numFmtId="0" fontId="25" fillId="0" borderId="4" xfId="0" applyFont="1" applyBorder="1" applyAlignment="1">
      <alignment vertical="center" wrapText="1"/>
    </xf>
    <xf numFmtId="0" fontId="17" fillId="0" borderId="0" xfId="0" applyFont="1" applyAlignment="1">
      <alignment horizontal="left" vertical="top" wrapText="1"/>
    </xf>
    <xf numFmtId="0" fontId="11" fillId="3" borderId="0" xfId="0" applyFont="1" applyFill="1" applyAlignment="1" applyProtection="1">
      <alignment vertical="center"/>
      <protection locked="0"/>
    </xf>
    <xf numFmtId="0" fontId="11" fillId="0" borderId="0" xfId="0" applyFont="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9" fillId="3" borderId="1" xfId="0" applyFont="1" applyFill="1" applyBorder="1" applyAlignment="1" applyProtection="1">
      <alignment vertical="center"/>
      <protection locked="0"/>
    </xf>
    <xf numFmtId="0" fontId="11" fillId="0" borderId="1" xfId="0" applyFont="1" applyBorder="1" applyAlignment="1" applyProtection="1">
      <alignment vertical="center"/>
      <protection locked="0"/>
    </xf>
    <xf numFmtId="0" fontId="1" fillId="0" borderId="1" xfId="3" applyFill="1" applyBorder="1" applyAlignment="1" applyProtection="1">
      <alignment horizontal="left" vertical="center"/>
      <protection locked="0"/>
    </xf>
    <xf numFmtId="0" fontId="6" fillId="0" borderId="0" xfId="0" applyFont="1" applyProtection="1">
      <protection locked="0"/>
    </xf>
    <xf numFmtId="0" fontId="11" fillId="0" borderId="55" xfId="0" applyFont="1" applyBorder="1" applyAlignment="1" applyProtection="1">
      <alignment vertical="top"/>
      <protection locked="0"/>
    </xf>
    <xf numFmtId="0" fontId="11" fillId="0" borderId="55" xfId="0" applyFont="1" applyBorder="1" applyProtection="1">
      <protection locked="0"/>
    </xf>
    <xf numFmtId="0" fontId="11" fillId="0" borderId="56" xfId="0" applyFont="1" applyBorder="1" applyProtection="1">
      <protection locked="0"/>
    </xf>
    <xf numFmtId="0" fontId="3" fillId="0" borderId="0" xfId="0" applyFont="1" applyAlignment="1" applyProtection="1">
      <alignment vertical="top"/>
      <protection locked="0"/>
    </xf>
    <xf numFmtId="0" fontId="15" fillId="2" borderId="1" xfId="0" applyFont="1" applyFill="1" applyBorder="1" applyAlignment="1" applyProtection="1">
      <alignment vertical="center"/>
      <protection locked="0"/>
    </xf>
    <xf numFmtId="0" fontId="11" fillId="2" borderId="1" xfId="0" applyFont="1" applyFill="1" applyBorder="1" applyAlignment="1" applyProtection="1">
      <alignment vertical="center"/>
      <protection locked="0"/>
    </xf>
    <xf numFmtId="0" fontId="10" fillId="2" borderId="1" xfId="0"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0" fontId="5" fillId="5" borderId="2" xfId="0" applyFont="1" applyFill="1" applyBorder="1" applyAlignment="1" applyProtection="1">
      <alignment vertical="top"/>
      <protection locked="0"/>
    </xf>
    <xf numFmtId="0" fontId="9" fillId="5" borderId="2" xfId="0" applyFont="1" applyFill="1" applyBorder="1" applyAlignment="1" applyProtection="1">
      <alignment vertical="top" wrapText="1"/>
      <protection locked="0"/>
    </xf>
    <xf numFmtId="0" fontId="5" fillId="5" borderId="2" xfId="0" applyFont="1" applyFill="1" applyBorder="1" applyAlignment="1" applyProtection="1">
      <alignment vertical="top" wrapText="1"/>
      <protection locked="0"/>
    </xf>
    <xf numFmtId="0" fontId="5" fillId="0" borderId="24" xfId="0" applyFont="1" applyBorder="1" applyAlignment="1" applyProtection="1">
      <alignment vertical="top"/>
      <protection locked="0"/>
    </xf>
    <xf numFmtId="0" fontId="5" fillId="0" borderId="45" xfId="0" applyFont="1" applyBorder="1" applyAlignment="1" applyProtection="1">
      <alignment vertical="top"/>
      <protection locked="0"/>
    </xf>
    <xf numFmtId="0" fontId="5" fillId="0" borderId="15" xfId="0" applyFont="1" applyBorder="1" applyAlignment="1" applyProtection="1">
      <alignment vertical="top" wrapText="1"/>
      <protection locked="0"/>
    </xf>
    <xf numFmtId="0" fontId="4" fillId="0" borderId="51" xfId="0" applyFont="1" applyBorder="1" applyAlignment="1" applyProtection="1">
      <alignment vertical="top"/>
      <protection locked="0"/>
    </xf>
    <xf numFmtId="0" fontId="5" fillId="0" borderId="38" xfId="0" applyFont="1" applyBorder="1" applyAlignment="1" applyProtection="1">
      <alignment horizontal="left" vertical="top"/>
      <protection locked="0"/>
    </xf>
    <xf numFmtId="0" fontId="5" fillId="0" borderId="2" xfId="0" applyFont="1" applyBorder="1" applyAlignment="1" applyProtection="1">
      <alignment horizontal="left" vertical="center" wrapText="1"/>
      <protection locked="0"/>
    </xf>
    <xf numFmtId="0" fontId="9" fillId="0" borderId="0" xfId="0" applyFont="1" applyAlignment="1" applyProtection="1">
      <alignment vertical="top"/>
      <protection locked="0"/>
    </xf>
    <xf numFmtId="0" fontId="5" fillId="0" borderId="16" xfId="0" applyFont="1" applyBorder="1" applyProtection="1">
      <protection locked="0"/>
    </xf>
    <xf numFmtId="0" fontId="9" fillId="0" borderId="46" xfId="0" applyFont="1" applyBorder="1" applyProtection="1">
      <protection locked="0"/>
    </xf>
    <xf numFmtId="0" fontId="9" fillId="0" borderId="16" xfId="0" applyFont="1" applyBorder="1" applyProtection="1">
      <protection locked="0"/>
    </xf>
    <xf numFmtId="0" fontId="9" fillId="0" borderId="20" xfId="0" applyFont="1" applyBorder="1" applyProtection="1">
      <protection locked="0"/>
    </xf>
    <xf numFmtId="0" fontId="9" fillId="0" borderId="57" xfId="0" applyFont="1" applyBorder="1" applyProtection="1">
      <protection locked="0"/>
    </xf>
    <xf numFmtId="0" fontId="11" fillId="0" borderId="60" xfId="0" applyFont="1" applyBorder="1" applyProtection="1">
      <protection locked="0"/>
    </xf>
    <xf numFmtId="0" fontId="11" fillId="0" borderId="39" xfId="0" applyFont="1" applyBorder="1" applyProtection="1">
      <protection locked="0"/>
    </xf>
    <xf numFmtId="0" fontId="9" fillId="0" borderId="11" xfId="0" applyFont="1" applyBorder="1" applyProtection="1">
      <protection locked="0"/>
    </xf>
    <xf numFmtId="0" fontId="9" fillId="0" borderId="30" xfId="0" applyFont="1" applyBorder="1" applyProtection="1">
      <protection locked="0"/>
    </xf>
    <xf numFmtId="3" fontId="9" fillId="3" borderId="11" xfId="0" applyNumberFormat="1" applyFont="1" applyFill="1" applyBorder="1" applyProtection="1">
      <protection locked="0"/>
    </xf>
    <xf numFmtId="3" fontId="9" fillId="0" borderId="21" xfId="0" applyNumberFormat="1" applyFont="1" applyBorder="1" applyProtection="1">
      <protection locked="0"/>
    </xf>
    <xf numFmtId="3" fontId="9" fillId="0" borderId="30" xfId="0" applyNumberFormat="1" applyFont="1" applyBorder="1" applyProtection="1">
      <protection locked="0"/>
    </xf>
    <xf numFmtId="3" fontId="9" fillId="0" borderId="49" xfId="0" applyNumberFormat="1" applyFont="1" applyBorder="1" applyProtection="1">
      <protection locked="0"/>
    </xf>
    <xf numFmtId="0" fontId="14" fillId="0" borderId="11" xfId="0" applyFont="1" applyBorder="1" applyProtection="1">
      <protection locked="0"/>
    </xf>
    <xf numFmtId="0" fontId="14" fillId="0" borderId="30" xfId="0" applyFont="1" applyBorder="1" applyProtection="1">
      <protection locked="0"/>
    </xf>
    <xf numFmtId="9" fontId="14" fillId="3" borderId="11" xfId="0" applyNumberFormat="1" applyFont="1" applyFill="1" applyBorder="1" applyProtection="1">
      <protection locked="0"/>
    </xf>
    <xf numFmtId="9" fontId="14" fillId="3" borderId="21" xfId="0" applyNumberFormat="1" applyFont="1" applyFill="1" applyBorder="1" applyProtection="1">
      <protection locked="0"/>
    </xf>
    <xf numFmtId="9" fontId="14" fillId="0" borderId="60" xfId="0" applyNumberFormat="1" applyFont="1" applyBorder="1" applyProtection="1">
      <protection locked="0"/>
    </xf>
    <xf numFmtId="0" fontId="14" fillId="3" borderId="39" xfId="0" applyFont="1" applyFill="1" applyBorder="1" applyProtection="1">
      <protection locked="0"/>
    </xf>
    <xf numFmtId="0" fontId="14" fillId="3" borderId="0" xfId="0" applyFont="1" applyFill="1" applyProtection="1">
      <protection locked="0"/>
    </xf>
    <xf numFmtId="0" fontId="14" fillId="3" borderId="11" xfId="0" applyFont="1" applyFill="1" applyBorder="1" applyProtection="1">
      <protection locked="0"/>
    </xf>
    <xf numFmtId="0" fontId="14" fillId="3" borderId="21" xfId="0" applyFont="1" applyFill="1" applyBorder="1" applyProtection="1">
      <protection locked="0"/>
    </xf>
    <xf numFmtId="0" fontId="14" fillId="0" borderId="60" xfId="0" applyFont="1" applyBorder="1" applyProtection="1">
      <protection locked="0"/>
    </xf>
    <xf numFmtId="3" fontId="9" fillId="3" borderId="21" xfId="0" applyNumberFormat="1" applyFont="1" applyFill="1" applyBorder="1" applyProtection="1">
      <protection locked="0"/>
    </xf>
    <xf numFmtId="3" fontId="9" fillId="0" borderId="60" xfId="0" applyNumberFormat="1" applyFont="1" applyBorder="1" applyProtection="1">
      <protection locked="0"/>
    </xf>
    <xf numFmtId="0" fontId="9" fillId="3" borderId="39" xfId="0" applyFont="1" applyFill="1" applyBorder="1" applyProtection="1">
      <protection locked="0"/>
    </xf>
    <xf numFmtId="0" fontId="9" fillId="3" borderId="0" xfId="0" applyFont="1" applyFill="1" applyProtection="1">
      <protection locked="0"/>
    </xf>
    <xf numFmtId="0" fontId="9" fillId="0" borderId="21" xfId="0" applyFont="1" applyBorder="1" applyProtection="1">
      <protection locked="0"/>
    </xf>
    <xf numFmtId="0" fontId="9" fillId="0" borderId="60" xfId="0" applyFont="1" applyBorder="1" applyProtection="1">
      <protection locked="0"/>
    </xf>
    <xf numFmtId="0" fontId="9" fillId="0" borderId="39" xfId="0" applyFont="1" applyBorder="1" applyProtection="1">
      <protection locked="0"/>
    </xf>
    <xf numFmtId="0" fontId="5" fillId="0" borderId="17" xfId="0" applyFont="1" applyBorder="1" applyProtection="1">
      <protection locked="0"/>
    </xf>
    <xf numFmtId="0" fontId="9" fillId="0" borderId="42" xfId="0" applyFont="1" applyBorder="1" applyProtection="1">
      <protection locked="0"/>
    </xf>
    <xf numFmtId="0" fontId="9" fillId="0" borderId="17" xfId="0" applyFont="1" applyBorder="1" applyProtection="1">
      <protection locked="0"/>
    </xf>
    <xf numFmtId="0" fontId="9" fillId="0" borderId="22" xfId="0" applyFont="1" applyBorder="1" applyProtection="1">
      <protection locked="0"/>
    </xf>
    <xf numFmtId="0" fontId="9" fillId="0" borderId="61" xfId="0" applyFont="1" applyBorder="1" applyProtection="1">
      <protection locked="0"/>
    </xf>
    <xf numFmtId="4" fontId="9" fillId="3" borderId="11" xfId="0" applyNumberFormat="1" applyFont="1" applyFill="1" applyBorder="1" applyProtection="1">
      <protection locked="0"/>
    </xf>
    <xf numFmtId="4" fontId="9" fillId="3" borderId="21" xfId="0" applyNumberFormat="1" applyFont="1" applyFill="1" applyBorder="1" applyProtection="1">
      <protection locked="0"/>
    </xf>
    <xf numFmtId="4" fontId="9" fillId="3" borderId="30" xfId="0" applyNumberFormat="1" applyFont="1" applyFill="1" applyBorder="1" applyProtection="1">
      <protection locked="0"/>
    </xf>
    <xf numFmtId="4" fontId="9" fillId="0" borderId="60" xfId="0" applyNumberFormat="1" applyFont="1" applyBorder="1" applyProtection="1">
      <protection locked="0"/>
    </xf>
    <xf numFmtId="4" fontId="9" fillId="6" borderId="21" xfId="0" applyNumberFormat="1" applyFont="1" applyFill="1" applyBorder="1" applyProtection="1">
      <protection locked="0"/>
    </xf>
    <xf numFmtId="4" fontId="9" fillId="6" borderId="30" xfId="0" applyNumberFormat="1" applyFont="1" applyFill="1" applyBorder="1" applyProtection="1">
      <protection locked="0"/>
    </xf>
    <xf numFmtId="9" fontId="14" fillId="3" borderId="21" xfId="0" quotePrefix="1" applyNumberFormat="1" applyFont="1" applyFill="1" applyBorder="1" applyProtection="1">
      <protection locked="0"/>
    </xf>
    <xf numFmtId="9" fontId="14" fillId="3" borderId="30" xfId="0" quotePrefix="1" applyNumberFormat="1" applyFont="1" applyFill="1" applyBorder="1" applyProtection="1">
      <protection locked="0"/>
    </xf>
    <xf numFmtId="2" fontId="9" fillId="0" borderId="11" xfId="0" applyNumberFormat="1" applyFont="1" applyBorder="1" applyProtection="1">
      <protection locked="0"/>
    </xf>
    <xf numFmtId="2" fontId="9" fillId="0" borderId="21" xfId="0" applyNumberFormat="1" applyFont="1" applyBorder="1" applyProtection="1">
      <protection locked="0"/>
    </xf>
    <xf numFmtId="2" fontId="9" fillId="0" borderId="30" xfId="0" applyNumberFormat="1" applyFont="1" applyBorder="1" applyProtection="1">
      <protection locked="0"/>
    </xf>
    <xf numFmtId="0" fontId="5" fillId="0" borderId="11" xfId="0" applyFont="1" applyBorder="1" applyProtection="1">
      <protection locked="0"/>
    </xf>
    <xf numFmtId="2" fontId="9" fillId="3" borderId="11" xfId="0" applyNumberFormat="1" applyFont="1" applyFill="1" applyBorder="1" applyProtection="1">
      <protection locked="0"/>
    </xf>
    <xf numFmtId="2" fontId="9" fillId="3" borderId="21" xfId="0" applyNumberFormat="1" applyFont="1" applyFill="1" applyBorder="1" applyProtection="1">
      <protection locked="0"/>
    </xf>
    <xf numFmtId="2" fontId="9" fillId="3" borderId="30" xfId="0" applyNumberFormat="1" applyFont="1" applyFill="1" applyBorder="1" applyProtection="1">
      <protection locked="0"/>
    </xf>
    <xf numFmtId="9" fontId="9" fillId="3" borderId="11" xfId="0" applyNumberFormat="1" applyFont="1" applyFill="1" applyBorder="1" applyProtection="1">
      <protection locked="0"/>
    </xf>
    <xf numFmtId="9" fontId="9" fillId="3" borderId="21" xfId="0" applyNumberFormat="1" applyFont="1" applyFill="1" applyBorder="1" applyProtection="1">
      <protection locked="0"/>
    </xf>
    <xf numFmtId="9" fontId="9" fillId="3" borderId="30" xfId="0" applyNumberFormat="1" applyFont="1" applyFill="1" applyBorder="1" applyProtection="1">
      <protection locked="0"/>
    </xf>
    <xf numFmtId="0" fontId="5" fillId="0" borderId="15" xfId="0" applyFont="1" applyBorder="1" applyAlignment="1" applyProtection="1">
      <alignment horizontal="left" vertical="top"/>
      <protection locked="0"/>
    </xf>
    <xf numFmtId="0" fontId="9" fillId="0" borderId="45" xfId="0" applyFont="1" applyBorder="1" applyAlignment="1" applyProtection="1">
      <alignment vertical="top"/>
      <protection locked="0"/>
    </xf>
    <xf numFmtId="3" fontId="9" fillId="3" borderId="15" xfId="0" applyNumberFormat="1" applyFont="1" applyFill="1" applyBorder="1" applyAlignment="1" applyProtection="1">
      <alignment vertical="top"/>
      <protection locked="0"/>
    </xf>
    <xf numFmtId="3" fontId="9" fillId="3" borderId="19" xfId="0" applyNumberFormat="1" applyFont="1" applyFill="1" applyBorder="1" applyAlignment="1" applyProtection="1">
      <alignment vertical="top"/>
      <protection locked="0"/>
    </xf>
    <xf numFmtId="3" fontId="9" fillId="3" borderId="45" xfId="0" applyNumberFormat="1" applyFont="1" applyFill="1" applyBorder="1" applyAlignment="1" applyProtection="1">
      <alignment vertical="top"/>
      <protection locked="0"/>
    </xf>
    <xf numFmtId="3" fontId="9" fillId="0" borderId="51" xfId="0" applyNumberFormat="1" applyFont="1" applyBorder="1" applyAlignment="1" applyProtection="1">
      <alignment vertical="top"/>
      <protection locked="0"/>
    </xf>
    <xf numFmtId="0" fontId="7" fillId="0" borderId="47" xfId="0" applyFont="1" applyBorder="1" applyAlignment="1" applyProtection="1">
      <alignment vertical="top"/>
      <protection locked="0"/>
    </xf>
    <xf numFmtId="0" fontId="5" fillId="0" borderId="11" xfId="0" applyFont="1" applyBorder="1" applyAlignment="1" applyProtection="1">
      <alignment vertical="top"/>
      <protection locked="0"/>
    </xf>
    <xf numFmtId="0" fontId="9" fillId="0" borderId="30" xfId="0" applyFont="1" applyBorder="1" applyAlignment="1" applyProtection="1">
      <alignment vertical="top"/>
      <protection locked="0"/>
    </xf>
    <xf numFmtId="3" fontId="9" fillId="3" borderId="11" xfId="0" applyNumberFormat="1" applyFont="1" applyFill="1" applyBorder="1" applyAlignment="1" applyProtection="1">
      <alignment vertical="top"/>
      <protection locked="0"/>
    </xf>
    <xf numFmtId="3" fontId="9" fillId="3" borderId="21" xfId="0" applyNumberFormat="1" applyFont="1" applyFill="1" applyBorder="1" applyAlignment="1" applyProtection="1">
      <alignment vertical="top"/>
      <protection locked="0"/>
    </xf>
    <xf numFmtId="3" fontId="9" fillId="3" borderId="30" xfId="0" applyNumberFormat="1" applyFont="1" applyFill="1" applyBorder="1" applyAlignment="1" applyProtection="1">
      <alignment vertical="top"/>
      <protection locked="0"/>
    </xf>
    <xf numFmtId="0" fontId="5" fillId="0" borderId="14" xfId="0" applyFont="1" applyBorder="1" applyAlignment="1" applyProtection="1">
      <alignment vertical="top"/>
      <protection locked="0"/>
    </xf>
    <xf numFmtId="0" fontId="9" fillId="0" borderId="32" xfId="0" applyFont="1" applyBorder="1" applyAlignment="1" applyProtection="1">
      <alignment vertical="top"/>
      <protection locked="0"/>
    </xf>
    <xf numFmtId="3" fontId="5" fillId="0" borderId="14" xfId="0" applyNumberFormat="1" applyFont="1" applyBorder="1" applyAlignment="1" applyProtection="1">
      <alignment vertical="top"/>
      <protection locked="0"/>
    </xf>
    <xf numFmtId="3" fontId="5" fillId="0" borderId="18" xfId="0" applyNumberFormat="1" applyFont="1" applyBorder="1" applyAlignment="1" applyProtection="1">
      <alignment vertical="top"/>
      <protection locked="0"/>
    </xf>
    <xf numFmtId="3" fontId="5" fillId="0" borderId="32" xfId="0" applyNumberFormat="1" applyFont="1" applyBorder="1" applyAlignment="1" applyProtection="1">
      <alignment vertical="top"/>
      <protection locked="0"/>
    </xf>
    <xf numFmtId="3" fontId="5" fillId="0" borderId="59" xfId="0" applyNumberFormat="1" applyFont="1" applyBorder="1" applyAlignment="1" applyProtection="1">
      <alignment vertical="top"/>
      <protection locked="0"/>
    </xf>
    <xf numFmtId="0" fontId="5" fillId="0" borderId="0" xfId="0" applyFont="1" applyAlignment="1" applyProtection="1">
      <alignment vertical="top"/>
      <protection locked="0"/>
    </xf>
    <xf numFmtId="3" fontId="9" fillId="0" borderId="0" xfId="0" applyNumberFormat="1" applyFont="1" applyAlignment="1" applyProtection="1">
      <alignment vertical="top"/>
      <protection locked="0"/>
    </xf>
    <xf numFmtId="0" fontId="11" fillId="0" borderId="50" xfId="0" applyFont="1" applyBorder="1" applyProtection="1">
      <protection locked="0"/>
    </xf>
    <xf numFmtId="3" fontId="9" fillId="0" borderId="39" xfId="0" applyNumberFormat="1" applyFont="1" applyBorder="1" applyProtection="1">
      <protection locked="0"/>
    </xf>
    <xf numFmtId="9" fontId="14" fillId="3" borderId="39" xfId="0" applyNumberFormat="1" applyFont="1" applyFill="1" applyBorder="1" applyProtection="1">
      <protection locked="0"/>
    </xf>
    <xf numFmtId="3" fontId="9" fillId="3" borderId="39" xfId="0" applyNumberFormat="1" applyFont="1" applyFill="1" applyBorder="1" applyProtection="1">
      <protection locked="0"/>
    </xf>
    <xf numFmtId="3" fontId="14" fillId="0" borderId="60" xfId="0" applyNumberFormat="1" applyFont="1" applyBorder="1" applyProtection="1">
      <protection locked="0"/>
    </xf>
    <xf numFmtId="3" fontId="9" fillId="0" borderId="11" xfId="0" applyNumberFormat="1" applyFont="1" applyBorder="1" applyProtection="1">
      <protection locked="0"/>
    </xf>
    <xf numFmtId="9" fontId="9" fillId="3" borderId="21" xfId="1" applyFont="1" applyFill="1" applyBorder="1" applyProtection="1">
      <protection locked="0"/>
    </xf>
    <xf numFmtId="9" fontId="9" fillId="3" borderId="39" xfId="0" applyNumberFormat="1" applyFont="1" applyFill="1" applyBorder="1" applyProtection="1">
      <protection locked="0"/>
    </xf>
    <xf numFmtId="9" fontId="11" fillId="0" borderId="60" xfId="0" applyNumberFormat="1" applyFont="1" applyBorder="1" applyProtection="1">
      <protection locked="0"/>
    </xf>
    <xf numFmtId="3" fontId="9" fillId="3" borderId="38" xfId="0" applyNumberFormat="1" applyFont="1" applyFill="1" applyBorder="1" applyAlignment="1" applyProtection="1">
      <alignment vertical="top"/>
      <protection locked="0"/>
    </xf>
    <xf numFmtId="3" fontId="9" fillId="3" borderId="39" xfId="0" applyNumberFormat="1" applyFont="1" applyFill="1" applyBorder="1" applyAlignment="1" applyProtection="1">
      <alignment vertical="top"/>
      <protection locked="0"/>
    </xf>
    <xf numFmtId="3" fontId="5" fillId="0" borderId="58" xfId="0" applyNumberFormat="1" applyFont="1" applyBorder="1" applyAlignment="1" applyProtection="1">
      <alignment vertical="top"/>
      <protection locked="0"/>
    </xf>
    <xf numFmtId="3" fontId="5" fillId="0" borderId="47" xfId="0" applyNumberFormat="1" applyFont="1" applyBorder="1" applyAlignment="1" applyProtection="1">
      <alignment vertical="top"/>
      <protection locked="0"/>
    </xf>
    <xf numFmtId="3" fontId="5" fillId="0" borderId="0" xfId="0" applyNumberFormat="1" applyFont="1" applyAlignment="1" applyProtection="1">
      <alignment vertical="top"/>
      <protection locked="0"/>
    </xf>
    <xf numFmtId="0" fontId="5" fillId="0" borderId="2" xfId="0" applyFont="1" applyBorder="1" applyAlignment="1" applyProtection="1">
      <alignment vertical="top"/>
      <protection locked="0"/>
    </xf>
    <xf numFmtId="0" fontId="5" fillId="0" borderId="19" xfId="0" applyFont="1" applyBorder="1" applyAlignment="1" applyProtection="1">
      <alignment vertical="top" wrapText="1"/>
      <protection locked="0"/>
    </xf>
    <xf numFmtId="0" fontId="5" fillId="0" borderId="38"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62" xfId="0" applyFont="1" applyBorder="1" applyAlignment="1" applyProtection="1">
      <alignment vertical="top"/>
      <protection locked="0"/>
    </xf>
    <xf numFmtId="0" fontId="5" fillId="0" borderId="2" xfId="0" applyFont="1" applyBorder="1" applyAlignment="1" applyProtection="1">
      <alignment vertical="top" wrapText="1"/>
      <protection locked="0"/>
    </xf>
    <xf numFmtId="0" fontId="10" fillId="2" borderId="1" xfId="0" applyFont="1" applyFill="1" applyBorder="1" applyAlignment="1" applyProtection="1">
      <alignment vertical="top"/>
      <protection locked="0"/>
    </xf>
    <xf numFmtId="0" fontId="11" fillId="2" borderId="31" xfId="0" applyFont="1" applyFill="1" applyBorder="1" applyAlignment="1" applyProtection="1">
      <alignment vertical="top"/>
      <protection locked="0"/>
    </xf>
    <xf numFmtId="0" fontId="11" fillId="2" borderId="1" xfId="0" applyFont="1" applyFill="1" applyBorder="1" applyAlignment="1" applyProtection="1">
      <alignment vertical="top"/>
      <protection locked="0"/>
    </xf>
    <xf numFmtId="0" fontId="11" fillId="2" borderId="8" xfId="0" applyFont="1" applyFill="1" applyBorder="1" applyAlignment="1" applyProtection="1">
      <alignment vertical="top"/>
      <protection locked="0"/>
    </xf>
    <xf numFmtId="0" fontId="11" fillId="2" borderId="2" xfId="0" applyFont="1" applyFill="1" applyBorder="1" applyAlignment="1" applyProtection="1">
      <alignment vertical="top"/>
      <protection locked="0"/>
    </xf>
    <xf numFmtId="0" fontId="11" fillId="2" borderId="27" xfId="0" applyFont="1" applyFill="1" applyBorder="1" applyAlignment="1" applyProtection="1">
      <alignment vertical="top"/>
      <protection locked="0"/>
    </xf>
    <xf numFmtId="0" fontId="11" fillId="2" borderId="38" xfId="0" applyFont="1" applyFill="1" applyBorder="1" applyAlignment="1" applyProtection="1">
      <alignment vertical="top"/>
      <protection locked="0"/>
    </xf>
    <xf numFmtId="0" fontId="11" fillId="0" borderId="30"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7" xfId="0" applyFont="1" applyBorder="1" applyAlignment="1" applyProtection="1">
      <alignment vertical="top"/>
      <protection locked="0"/>
    </xf>
    <xf numFmtId="0" fontId="11" fillId="0" borderId="21" xfId="0" applyFont="1" applyBorder="1" applyAlignment="1" applyProtection="1">
      <alignment vertical="top"/>
      <protection locked="0"/>
    </xf>
    <xf numFmtId="9" fontId="9" fillId="3" borderId="30" xfId="1" applyFont="1" applyFill="1" applyBorder="1" applyAlignment="1" applyProtection="1">
      <alignment vertical="top"/>
      <protection locked="0"/>
    </xf>
    <xf numFmtId="0" fontId="9" fillId="0" borderId="7" xfId="0" applyFont="1" applyBorder="1" applyAlignment="1" applyProtection="1">
      <alignment vertical="top"/>
      <protection locked="0"/>
    </xf>
    <xf numFmtId="0" fontId="9" fillId="0" borderId="21" xfId="0" applyFont="1" applyBorder="1" applyAlignment="1" applyProtection="1">
      <alignment vertical="top"/>
      <protection locked="0"/>
    </xf>
    <xf numFmtId="0" fontId="9" fillId="0" borderId="0" xfId="0" applyFont="1" applyAlignment="1" applyProtection="1">
      <alignment horizontal="left" vertical="top" indent="1"/>
      <protection locked="0"/>
    </xf>
    <xf numFmtId="3" fontId="9" fillId="3" borderId="0" xfId="0" applyNumberFormat="1" applyFont="1" applyFill="1" applyAlignment="1" applyProtection="1">
      <alignment vertical="top"/>
      <protection locked="0"/>
    </xf>
    <xf numFmtId="3" fontId="9" fillId="3" borderId="7" xfId="0" applyNumberFormat="1" applyFont="1" applyFill="1" applyBorder="1" applyAlignment="1" applyProtection="1">
      <alignment vertical="top"/>
      <protection locked="0"/>
    </xf>
    <xf numFmtId="9" fontId="9" fillId="3" borderId="0" xfId="1" applyFont="1" applyFill="1" applyAlignment="1" applyProtection="1">
      <alignment vertical="top"/>
      <protection locked="0"/>
    </xf>
    <xf numFmtId="9" fontId="9" fillId="3" borderId="7" xfId="1" applyFont="1" applyFill="1" applyBorder="1" applyAlignment="1" applyProtection="1">
      <alignment vertical="top"/>
      <protection locked="0"/>
    </xf>
    <xf numFmtId="0" fontId="10" fillId="2" borderId="2" xfId="0" applyFont="1" applyFill="1" applyBorder="1" applyAlignment="1" applyProtection="1">
      <alignment vertical="top"/>
      <protection locked="0"/>
    </xf>
    <xf numFmtId="0" fontId="11" fillId="2" borderId="45" xfId="0" applyFont="1" applyFill="1" applyBorder="1" applyAlignment="1" applyProtection="1">
      <alignment vertical="top"/>
      <protection locked="0"/>
    </xf>
    <xf numFmtId="0" fontId="11" fillId="2" borderId="9" xfId="0" applyFont="1" applyFill="1" applyBorder="1" applyAlignment="1" applyProtection="1">
      <alignment vertical="top"/>
      <protection locked="0"/>
    </xf>
    <xf numFmtId="0" fontId="11" fillId="2" borderId="19" xfId="0" applyFont="1" applyFill="1" applyBorder="1" applyAlignment="1" applyProtection="1">
      <alignment vertical="top"/>
      <protection locked="0"/>
    </xf>
    <xf numFmtId="0" fontId="9" fillId="0" borderId="0" xfId="0" applyFont="1" applyAlignment="1" applyProtection="1">
      <alignment horizontal="left" vertical="top"/>
      <protection locked="0"/>
    </xf>
    <xf numFmtId="164" fontId="9" fillId="3" borderId="0" xfId="1" applyNumberFormat="1" applyFont="1" applyFill="1" applyAlignment="1" applyProtection="1">
      <alignment vertical="top"/>
      <protection locked="0"/>
    </xf>
    <xf numFmtId="164" fontId="9" fillId="3" borderId="7" xfId="1" applyNumberFormat="1" applyFont="1" applyFill="1" applyBorder="1" applyAlignment="1" applyProtection="1">
      <alignment vertical="top"/>
      <protection locked="0"/>
    </xf>
    <xf numFmtId="0" fontId="11" fillId="0" borderId="30" xfId="0" applyFont="1" applyBorder="1" applyProtection="1">
      <protection locked="0"/>
    </xf>
    <xf numFmtId="3" fontId="9" fillId="0" borderId="0" xfId="0" applyNumberFormat="1" applyFont="1" applyProtection="1">
      <protection locked="0"/>
    </xf>
    <xf numFmtId="3" fontId="9" fillId="0" borderId="7" xfId="0" applyNumberFormat="1" applyFont="1" applyBorder="1" applyProtection="1">
      <protection locked="0"/>
    </xf>
    <xf numFmtId="0" fontId="7" fillId="0" borderId="11" xfId="0" applyFont="1" applyBorder="1" applyAlignment="1" applyProtection="1">
      <alignment vertical="top"/>
      <protection locked="0"/>
    </xf>
    <xf numFmtId="0" fontId="11" fillId="0" borderId="21" xfId="0" applyFont="1" applyBorder="1" applyProtection="1">
      <protection locked="0"/>
    </xf>
    <xf numFmtId="3" fontId="11" fillId="2" borderId="2" xfId="0" applyNumberFormat="1" applyFont="1" applyFill="1" applyBorder="1" applyAlignment="1" applyProtection="1">
      <alignment vertical="top"/>
      <protection locked="0"/>
    </xf>
    <xf numFmtId="3" fontId="9" fillId="3" borderId="0" xfId="0" applyNumberFormat="1" applyFont="1" applyFill="1" applyProtection="1">
      <protection locked="0"/>
    </xf>
    <xf numFmtId="3" fontId="9" fillId="3" borderId="7" xfId="0" applyNumberFormat="1" applyFont="1" applyFill="1" applyBorder="1" applyProtection="1">
      <protection locked="0"/>
    </xf>
    <xf numFmtId="0" fontId="5" fillId="0" borderId="0" xfId="0" applyFont="1" applyAlignment="1" applyProtection="1">
      <alignment horizontal="left" vertical="top"/>
      <protection locked="0"/>
    </xf>
    <xf numFmtId="3" fontId="5" fillId="0" borderId="7" xfId="0" applyNumberFormat="1" applyFont="1" applyBorder="1" applyAlignment="1" applyProtection="1">
      <alignment vertical="top"/>
      <protection locked="0"/>
    </xf>
    <xf numFmtId="4" fontId="9" fillId="0" borderId="0" xfId="0" applyNumberFormat="1" applyFont="1" applyAlignment="1" applyProtection="1">
      <alignment vertical="top"/>
      <protection locked="0"/>
    </xf>
    <xf numFmtId="4" fontId="9" fillId="0" borderId="7" xfId="0" applyNumberFormat="1" applyFont="1" applyBorder="1" applyAlignment="1" applyProtection="1">
      <alignment vertical="top"/>
      <protection locked="0"/>
    </xf>
    <xf numFmtId="164" fontId="5" fillId="0" borderId="0" xfId="1" applyNumberFormat="1" applyFont="1" applyFill="1" applyAlignment="1" applyProtection="1">
      <alignment vertical="top"/>
      <protection locked="0"/>
    </xf>
    <xf numFmtId="164" fontId="5" fillId="0" borderId="7" xfId="1" applyNumberFormat="1" applyFont="1" applyFill="1" applyBorder="1" applyAlignment="1" applyProtection="1">
      <alignment vertical="top"/>
      <protection locked="0"/>
    </xf>
    <xf numFmtId="0" fontId="9" fillId="0" borderId="0" xfId="0" applyFont="1" applyAlignment="1" applyProtection="1">
      <alignment horizontal="left" vertical="top" indent="2"/>
      <protection locked="0"/>
    </xf>
    <xf numFmtId="9" fontId="9" fillId="3" borderId="0" xfId="0" applyNumberFormat="1" applyFont="1" applyFill="1" applyAlignment="1" applyProtection="1">
      <alignment vertical="top"/>
      <protection locked="0"/>
    </xf>
    <xf numFmtId="9" fontId="9" fillId="3" borderId="7" xfId="0" applyNumberFormat="1" applyFont="1" applyFill="1" applyBorder="1" applyAlignment="1" applyProtection="1">
      <alignment vertical="top"/>
      <protection locked="0"/>
    </xf>
    <xf numFmtId="0" fontId="8" fillId="0" borderId="0" xfId="0" applyFont="1" applyProtection="1">
      <protection locked="0"/>
    </xf>
    <xf numFmtId="0" fontId="8" fillId="0" borderId="21" xfId="0" applyFont="1" applyBorder="1" applyProtection="1">
      <protection locked="0"/>
    </xf>
    <xf numFmtId="165" fontId="9" fillId="3" borderId="0" xfId="0" applyNumberFormat="1" applyFont="1" applyFill="1" applyAlignment="1" applyProtection="1">
      <alignment vertical="top"/>
      <protection locked="0"/>
    </xf>
    <xf numFmtId="165" fontId="9" fillId="3" borderId="7" xfId="0" applyNumberFormat="1" applyFont="1" applyFill="1" applyBorder="1" applyAlignment="1" applyProtection="1">
      <alignment vertical="top"/>
      <protection locked="0"/>
    </xf>
    <xf numFmtId="0" fontId="5" fillId="2" borderId="1" xfId="0" applyFont="1" applyFill="1" applyBorder="1" applyAlignment="1" applyProtection="1">
      <alignment vertical="top"/>
      <protection locked="0"/>
    </xf>
    <xf numFmtId="0" fontId="9" fillId="2" borderId="31" xfId="0" applyFont="1" applyFill="1" applyBorder="1" applyAlignment="1" applyProtection="1">
      <alignment vertical="top"/>
      <protection locked="0"/>
    </xf>
    <xf numFmtId="0" fontId="9" fillId="2" borderId="1" xfId="0" applyFont="1" applyFill="1" applyBorder="1" applyAlignment="1" applyProtection="1">
      <alignment vertical="top"/>
      <protection locked="0"/>
    </xf>
    <xf numFmtId="0" fontId="9" fillId="2" borderId="8" xfId="0" applyFont="1" applyFill="1" applyBorder="1" applyAlignment="1" applyProtection="1">
      <alignment vertical="top"/>
      <protection locked="0"/>
    </xf>
    <xf numFmtId="0" fontId="9" fillId="2" borderId="27" xfId="0" applyFont="1" applyFill="1" applyBorder="1" applyAlignment="1" applyProtection="1">
      <alignment vertical="top"/>
      <protection locked="0"/>
    </xf>
    <xf numFmtId="0" fontId="23" fillId="0" borderId="60" xfId="0" applyFont="1" applyBorder="1" applyAlignment="1" applyProtection="1">
      <alignment vertical="top" wrapText="1"/>
      <protection locked="0"/>
    </xf>
    <xf numFmtId="0" fontId="18" fillId="2" borderId="0" xfId="0" applyFont="1" applyFill="1" applyAlignment="1" applyProtection="1">
      <alignment vertical="top"/>
      <protection locked="0"/>
    </xf>
    <xf numFmtId="0" fontId="18" fillId="2" borderId="0" xfId="0" applyFont="1" applyFill="1" applyAlignment="1" applyProtection="1">
      <alignment vertical="top" wrapText="1"/>
      <protection locked="0"/>
    </xf>
    <xf numFmtId="0" fontId="19" fillId="2" borderId="0" xfId="0" applyFont="1" applyFill="1" applyAlignment="1" applyProtection="1">
      <alignment vertical="top"/>
      <protection locked="0"/>
    </xf>
    <xf numFmtId="0" fontId="15" fillId="0" borderId="0" xfId="0" applyFont="1" applyAlignment="1" applyProtection="1">
      <alignment horizontal="left" vertical="center"/>
      <protection locked="0"/>
    </xf>
    <xf numFmtId="0" fontId="16" fillId="0" borderId="0" xfId="0" applyFont="1" applyAlignment="1" applyProtection="1">
      <alignment vertical="center"/>
      <protection locked="0"/>
    </xf>
    <xf numFmtId="0" fontId="30" fillId="0" borderId="0" xfId="3" applyFont="1" applyFill="1" applyAlignment="1" applyProtection="1">
      <alignment horizontal="left" vertical="center"/>
      <protection locked="0"/>
    </xf>
    <xf numFmtId="0" fontId="16" fillId="0" borderId="0" xfId="0" applyFont="1" applyAlignment="1" applyProtection="1">
      <alignment horizontal="left" vertical="center"/>
      <protection locked="0"/>
    </xf>
    <xf numFmtId="0" fontId="16" fillId="3" borderId="0" xfId="0" applyFont="1" applyFill="1" applyAlignment="1" applyProtection="1">
      <alignment vertical="center"/>
      <protection locked="0"/>
    </xf>
    <xf numFmtId="0" fontId="16" fillId="0" borderId="0" xfId="0" applyFont="1" applyAlignment="1" applyProtection="1">
      <alignment vertical="top"/>
      <protection locked="0"/>
    </xf>
    <xf numFmtId="0" fontId="15" fillId="3" borderId="0" xfId="0" applyFont="1" applyFill="1" applyAlignment="1" applyProtection="1">
      <alignment vertical="top"/>
      <protection locked="0"/>
    </xf>
    <xf numFmtId="0" fontId="18" fillId="4" borderId="0" xfId="0" applyFont="1" applyFill="1" applyAlignment="1" applyProtection="1">
      <alignment vertical="top"/>
      <protection locked="0"/>
    </xf>
    <xf numFmtId="0" fontId="19" fillId="0" borderId="2" xfId="0" applyFont="1" applyBorder="1" applyAlignment="1" applyProtection="1">
      <alignment vertical="top"/>
      <protection locked="0"/>
    </xf>
    <xf numFmtId="0" fontId="19" fillId="0" borderId="2" xfId="0" applyFont="1" applyBorder="1" applyProtection="1">
      <protection locked="0"/>
    </xf>
    <xf numFmtId="0" fontId="19" fillId="0" borderId="9" xfId="0" applyFont="1" applyBorder="1" applyProtection="1">
      <protection locked="0"/>
    </xf>
    <xf numFmtId="0" fontId="18" fillId="0" borderId="0" xfId="0" applyFont="1" applyProtection="1">
      <protection locked="0"/>
    </xf>
    <xf numFmtId="0" fontId="19" fillId="0" borderId="0" xfId="0" applyFont="1" applyAlignment="1" applyProtection="1">
      <alignment horizontal="left" vertical="center" indent="1"/>
      <protection locked="0"/>
    </xf>
    <xf numFmtId="0" fontId="19" fillId="0" borderId="1" xfId="0" applyFont="1" applyBorder="1" applyProtection="1">
      <protection locked="0"/>
    </xf>
    <xf numFmtId="0" fontId="19" fillId="0" borderId="1" xfId="0" applyFont="1" applyBorder="1" applyAlignment="1" applyProtection="1">
      <alignment horizontal="left" vertical="center" indent="1"/>
      <protection locked="0"/>
    </xf>
    <xf numFmtId="3" fontId="19" fillId="0" borderId="11" xfId="0" applyNumberFormat="1" applyFont="1" applyBorder="1" applyAlignment="1" applyProtection="1">
      <alignment vertical="top"/>
      <protection locked="0"/>
    </xf>
    <xf numFmtId="3" fontId="19" fillId="0" borderId="26" xfId="0" applyNumberFormat="1" applyFont="1" applyBorder="1" applyAlignment="1" applyProtection="1">
      <alignment vertical="top"/>
      <protection locked="0"/>
    </xf>
    <xf numFmtId="0" fontId="19" fillId="0" borderId="0" xfId="0" applyFont="1" applyAlignment="1" applyProtection="1">
      <alignment horizontal="left" indent="1"/>
      <protection locked="0"/>
    </xf>
    <xf numFmtId="3" fontId="19" fillId="0" borderId="11" xfId="0" applyNumberFormat="1" applyFont="1" applyBorder="1" applyProtection="1">
      <protection locked="0"/>
    </xf>
    <xf numFmtId="0" fontId="17" fillId="0" borderId="1" xfId="0" applyFont="1" applyBorder="1" applyProtection="1">
      <protection locked="0"/>
    </xf>
    <xf numFmtId="3" fontId="18" fillId="0" borderId="11" xfId="0" applyNumberFormat="1" applyFont="1" applyBorder="1" applyProtection="1">
      <protection locked="0"/>
    </xf>
    <xf numFmtId="0" fontId="19" fillId="0" borderId="35" xfId="0" applyFont="1" applyBorder="1" applyAlignment="1" applyProtection="1">
      <alignment horizontal="left" vertical="center"/>
      <protection locked="0"/>
    </xf>
    <xf numFmtId="0" fontId="19" fillId="0" borderId="35" xfId="0" applyFont="1" applyBorder="1" applyAlignment="1" applyProtection="1">
      <alignment horizontal="left" vertical="center" indent="1"/>
      <protection locked="0"/>
    </xf>
    <xf numFmtId="0" fontId="19" fillId="0" borderId="35" xfId="0" applyFont="1" applyBorder="1" applyProtection="1">
      <protection locked="0"/>
    </xf>
    <xf numFmtId="3" fontId="19" fillId="0" borderId="75" xfId="0" applyNumberFormat="1" applyFont="1" applyBorder="1" applyProtection="1">
      <protection locked="0"/>
    </xf>
    <xf numFmtId="0" fontId="19" fillId="0" borderId="0" xfId="0" applyFont="1" applyAlignment="1" applyProtection="1">
      <alignment horizontal="left" vertical="center"/>
      <protection locked="0"/>
    </xf>
    <xf numFmtId="3" fontId="18" fillId="0" borderId="0" xfId="0" applyNumberFormat="1" applyFont="1" applyProtection="1">
      <protection locked="0"/>
    </xf>
    <xf numFmtId="9" fontId="19" fillId="0" borderId="0" xfId="1" applyFont="1" applyProtection="1">
      <protection locked="0"/>
    </xf>
    <xf numFmtId="3" fontId="19" fillId="0" borderId="0" xfId="0" applyNumberFormat="1" applyFont="1" applyProtection="1">
      <protection locked="0"/>
    </xf>
    <xf numFmtId="3" fontId="18" fillId="0" borderId="5" xfId="0" applyNumberFormat="1" applyFont="1" applyBorder="1" applyAlignment="1" applyProtection="1">
      <alignment horizontal="left" vertical="center"/>
      <protection locked="0"/>
    </xf>
    <xf numFmtId="3" fontId="18" fillId="0" borderId="6" xfId="0" applyNumberFormat="1" applyFont="1" applyBorder="1" applyAlignment="1" applyProtection="1">
      <alignment horizontal="left" vertical="center"/>
      <protection locked="0"/>
    </xf>
    <xf numFmtId="0" fontId="15" fillId="0" borderId="1" xfId="0" applyFont="1" applyBorder="1" applyAlignment="1" applyProtection="1">
      <alignment vertical="top"/>
      <protection locked="0"/>
    </xf>
    <xf numFmtId="0" fontId="16" fillId="0" borderId="1" xfId="0" applyFont="1" applyBorder="1" applyAlignment="1" applyProtection="1">
      <alignment vertical="top"/>
      <protection locked="0"/>
    </xf>
    <xf numFmtId="0" fontId="18" fillId="0" borderId="9" xfId="0" applyFont="1" applyBorder="1" applyAlignment="1" applyProtection="1">
      <alignment horizontal="left" vertical="center" wrapText="1"/>
      <protection locked="0"/>
    </xf>
    <xf numFmtId="0" fontId="19" fillId="0" borderId="0" xfId="0" applyFont="1" applyAlignment="1" applyProtection="1">
      <alignment wrapText="1"/>
      <protection locked="0"/>
    </xf>
    <xf numFmtId="0" fontId="18" fillId="3" borderId="2" xfId="0" applyFont="1" applyFill="1" applyBorder="1" applyAlignment="1" applyProtection="1">
      <alignment horizontal="left" vertical="center"/>
      <protection locked="0"/>
    </xf>
    <xf numFmtId="0" fontId="18" fillId="2" borderId="2" xfId="0" applyFont="1" applyFill="1" applyBorder="1" applyProtection="1">
      <protection locked="0"/>
    </xf>
    <xf numFmtId="3" fontId="18" fillId="3" borderId="2" xfId="0" applyNumberFormat="1" applyFont="1" applyFill="1" applyBorder="1" applyProtection="1">
      <protection locked="0"/>
    </xf>
    <xf numFmtId="9" fontId="31" fillId="2" borderId="19" xfId="1" applyFont="1" applyFill="1" applyBorder="1" applyAlignment="1" applyProtection="1">
      <alignment horizontal="right"/>
      <protection locked="0"/>
    </xf>
    <xf numFmtId="3" fontId="19" fillId="0" borderId="50" xfId="0" applyNumberFormat="1" applyFont="1" applyBorder="1" applyProtection="1">
      <protection locked="0"/>
    </xf>
    <xf numFmtId="164" fontId="19" fillId="0" borderId="50" xfId="1" applyNumberFormat="1" applyFont="1" applyFill="1" applyBorder="1" applyProtection="1">
      <protection locked="0"/>
    </xf>
    <xf numFmtId="3" fontId="19" fillId="0" borderId="50" xfId="0" applyNumberFormat="1" applyFont="1" applyBorder="1" applyAlignment="1" applyProtection="1">
      <alignment vertical="top" wrapText="1"/>
      <protection locked="0"/>
    </xf>
    <xf numFmtId="3" fontId="16" fillId="0" borderId="50" xfId="0" applyNumberFormat="1" applyFont="1" applyBorder="1" applyProtection="1">
      <protection locked="0"/>
    </xf>
    <xf numFmtId="3" fontId="19" fillId="3" borderId="33" xfId="0" applyNumberFormat="1" applyFont="1" applyFill="1" applyBorder="1" applyAlignment="1" applyProtection="1">
      <alignment vertical="top" wrapText="1"/>
      <protection locked="0"/>
    </xf>
    <xf numFmtId="3" fontId="19" fillId="3" borderId="25" xfId="0" applyNumberFormat="1" applyFont="1" applyFill="1" applyBorder="1" applyAlignment="1" applyProtection="1">
      <alignment vertical="top" wrapText="1"/>
      <protection locked="0"/>
    </xf>
    <xf numFmtId="3" fontId="19" fillId="3" borderId="29" xfId="0" applyNumberFormat="1" applyFont="1" applyFill="1" applyBorder="1" applyAlignment="1" applyProtection="1">
      <alignment vertical="top" wrapText="1"/>
      <protection locked="0"/>
    </xf>
    <xf numFmtId="9" fontId="16" fillId="0" borderId="11" xfId="1" applyFont="1" applyBorder="1" applyAlignment="1" applyProtection="1">
      <alignment horizontal="right" vertical="top"/>
      <protection locked="0"/>
    </xf>
    <xf numFmtId="3" fontId="19" fillId="0" borderId="68" xfId="0" applyNumberFormat="1" applyFont="1" applyBorder="1" applyProtection="1">
      <protection locked="0"/>
    </xf>
    <xf numFmtId="164" fontId="19" fillId="0" borderId="68" xfId="1" applyNumberFormat="1" applyFont="1" applyFill="1" applyBorder="1" applyProtection="1">
      <protection locked="0"/>
    </xf>
    <xf numFmtId="3" fontId="16" fillId="0" borderId="68" xfId="0" applyNumberFormat="1" applyFont="1" applyBorder="1" applyProtection="1">
      <protection locked="0"/>
    </xf>
    <xf numFmtId="3" fontId="19" fillId="3" borderId="72" xfId="0" applyNumberFormat="1" applyFont="1" applyFill="1" applyBorder="1" applyAlignment="1" applyProtection="1">
      <alignment vertical="top" wrapText="1"/>
      <protection locked="0"/>
    </xf>
    <xf numFmtId="3" fontId="19" fillId="3" borderId="27" xfId="0" applyNumberFormat="1" applyFont="1" applyFill="1" applyBorder="1" applyAlignment="1" applyProtection="1">
      <alignment vertical="top" wrapText="1"/>
      <protection locked="0"/>
    </xf>
    <xf numFmtId="3" fontId="19" fillId="3" borderId="31" xfId="0" applyNumberFormat="1" applyFont="1" applyFill="1" applyBorder="1" applyAlignment="1" applyProtection="1">
      <alignment vertical="top" wrapText="1"/>
      <protection locked="0"/>
    </xf>
    <xf numFmtId="3" fontId="18" fillId="0" borderId="0" xfId="0" applyNumberFormat="1" applyFont="1" applyAlignment="1" applyProtection="1">
      <alignment vertical="top"/>
      <protection locked="0"/>
    </xf>
    <xf numFmtId="9" fontId="19" fillId="0" borderId="0" xfId="1" applyFont="1" applyBorder="1" applyProtection="1">
      <protection locked="0"/>
    </xf>
    <xf numFmtId="1" fontId="19" fillId="0" borderId="0" xfId="0" applyNumberFormat="1" applyFont="1" applyAlignment="1" applyProtection="1">
      <alignment vertical="top" wrapText="1"/>
      <protection locked="0"/>
    </xf>
    <xf numFmtId="3" fontId="19" fillId="0" borderId="7" xfId="0" applyNumberFormat="1" applyFont="1" applyBorder="1" applyProtection="1">
      <protection locked="0"/>
    </xf>
    <xf numFmtId="0" fontId="19" fillId="0" borderId="11" xfId="0" applyFont="1" applyBorder="1" applyProtection="1">
      <protection locked="0"/>
    </xf>
    <xf numFmtId="3" fontId="19" fillId="0" borderId="60" xfId="0" applyNumberFormat="1" applyFont="1" applyBorder="1" applyProtection="1">
      <protection locked="0"/>
    </xf>
    <xf numFmtId="3" fontId="19" fillId="3" borderId="34" xfId="0" applyNumberFormat="1" applyFont="1" applyFill="1" applyBorder="1" applyAlignment="1" applyProtection="1">
      <alignment vertical="top" wrapText="1"/>
      <protection locked="0"/>
    </xf>
    <xf numFmtId="3" fontId="19" fillId="3" borderId="21" xfId="0" applyNumberFormat="1" applyFont="1" applyFill="1" applyBorder="1" applyAlignment="1" applyProtection="1">
      <alignment vertical="top" wrapText="1"/>
      <protection locked="0"/>
    </xf>
    <xf numFmtId="3" fontId="19" fillId="3" borderId="30" xfId="0" applyNumberFormat="1" applyFont="1" applyFill="1" applyBorder="1" applyAlignment="1" applyProtection="1">
      <alignment vertical="top" wrapText="1"/>
      <protection locked="0"/>
    </xf>
    <xf numFmtId="3" fontId="18" fillId="0" borderId="5" xfId="0" applyNumberFormat="1" applyFont="1" applyBorder="1" applyAlignment="1" applyProtection="1">
      <alignment vertical="top"/>
      <protection locked="0"/>
    </xf>
    <xf numFmtId="3" fontId="17" fillId="0" borderId="6" xfId="0" applyNumberFormat="1" applyFont="1" applyBorder="1" applyProtection="1">
      <protection locked="0"/>
    </xf>
    <xf numFmtId="3" fontId="18" fillId="0" borderId="67" xfId="0" applyNumberFormat="1" applyFont="1" applyBorder="1" applyProtection="1">
      <protection locked="0"/>
    </xf>
    <xf numFmtId="3" fontId="18" fillId="0" borderId="40" xfId="0" applyNumberFormat="1" applyFont="1" applyBorder="1" applyAlignment="1" applyProtection="1">
      <alignment vertical="top"/>
      <protection locked="0"/>
    </xf>
    <xf numFmtId="3" fontId="19" fillId="0" borderId="40" xfId="0" applyNumberFormat="1" applyFont="1" applyBorder="1" applyProtection="1">
      <protection locked="0"/>
    </xf>
    <xf numFmtId="3" fontId="18" fillId="0" borderId="69" xfId="0" applyNumberFormat="1" applyFont="1" applyBorder="1" applyProtection="1">
      <protection locked="0"/>
    </xf>
    <xf numFmtId="164" fontId="19" fillId="0" borderId="0" xfId="1" applyNumberFormat="1" applyFont="1" applyProtection="1">
      <protection locked="0"/>
    </xf>
    <xf numFmtId="1" fontId="19" fillId="0" borderId="0" xfId="1" applyNumberFormat="1" applyFont="1" applyProtection="1">
      <protection locked="0"/>
    </xf>
    <xf numFmtId="3" fontId="19" fillId="0" borderId="0" xfId="0" applyNumberFormat="1" applyFont="1" applyAlignment="1" applyProtection="1">
      <alignment vertical="top" wrapText="1"/>
      <protection locked="0"/>
    </xf>
    <xf numFmtId="3" fontId="19" fillId="0" borderId="70" xfId="0" applyNumberFormat="1" applyFont="1" applyBorder="1" applyAlignment="1" applyProtection="1">
      <alignment vertical="top" wrapText="1"/>
      <protection locked="0"/>
    </xf>
    <xf numFmtId="3" fontId="18" fillId="2" borderId="9" xfId="0" applyNumberFormat="1" applyFont="1" applyFill="1" applyBorder="1" applyProtection="1">
      <protection locked="0"/>
    </xf>
    <xf numFmtId="0" fontId="18" fillId="0" borderId="2" xfId="0" applyFont="1" applyBorder="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0" fontId="19" fillId="2" borderId="0" xfId="0" applyFont="1" applyFill="1" applyProtection="1">
      <protection locked="0"/>
    </xf>
    <xf numFmtId="9" fontId="19" fillId="2" borderId="10" xfId="1" applyFont="1" applyFill="1" applyBorder="1" applyProtection="1">
      <protection locked="0"/>
    </xf>
    <xf numFmtId="0" fontId="19" fillId="2" borderId="12" xfId="0" applyFont="1" applyFill="1" applyBorder="1" applyProtection="1">
      <protection locked="0"/>
    </xf>
    <xf numFmtId="0" fontId="17" fillId="2" borderId="0" xfId="0" applyFont="1" applyFill="1" applyProtection="1">
      <protection locked="0"/>
    </xf>
    <xf numFmtId="3" fontId="19" fillId="0" borderId="5" xfId="0" applyNumberFormat="1" applyFont="1" applyBorder="1" applyProtection="1">
      <protection locked="0"/>
    </xf>
    <xf numFmtId="1" fontId="19" fillId="0" borderId="67" xfId="0" applyNumberFormat="1" applyFont="1" applyBorder="1" applyAlignment="1" applyProtection="1">
      <alignment vertical="top" wrapText="1"/>
      <protection locked="0"/>
    </xf>
    <xf numFmtId="3" fontId="18" fillId="0" borderId="13" xfId="0" applyNumberFormat="1" applyFont="1" applyBorder="1" applyProtection="1">
      <protection locked="0"/>
    </xf>
    <xf numFmtId="164" fontId="19" fillId="0" borderId="0" xfId="1" applyNumberFormat="1" applyFont="1" applyFill="1" applyBorder="1" applyProtection="1">
      <protection locked="0"/>
    </xf>
    <xf numFmtId="1" fontId="19" fillId="0" borderId="7" xfId="1" applyNumberFormat="1" applyFont="1" applyFill="1" applyBorder="1" applyProtection="1">
      <protection locked="0"/>
    </xf>
    <xf numFmtId="3" fontId="19" fillId="0" borderId="12" xfId="0" applyNumberFormat="1" applyFont="1" applyBorder="1" applyProtection="1">
      <protection locked="0"/>
    </xf>
    <xf numFmtId="3" fontId="19" fillId="3" borderId="85" xfId="0" applyNumberFormat="1" applyFont="1" applyFill="1" applyBorder="1" applyAlignment="1" applyProtection="1">
      <alignment vertical="top" wrapText="1"/>
      <protection locked="0"/>
    </xf>
    <xf numFmtId="0" fontId="19" fillId="0" borderId="4" xfId="0" applyFont="1" applyBorder="1" applyProtection="1">
      <protection locked="0"/>
    </xf>
    <xf numFmtId="3" fontId="19" fillId="0" borderId="21" xfId="0" applyNumberFormat="1" applyFont="1" applyBorder="1" applyProtection="1">
      <protection locked="0"/>
    </xf>
    <xf numFmtId="3" fontId="19" fillId="0" borderId="30" xfId="0" applyNumberFormat="1" applyFont="1" applyBorder="1" applyProtection="1">
      <protection locked="0"/>
    </xf>
    <xf numFmtId="0" fontId="15" fillId="0" borderId="6" xfId="0" applyFont="1" applyBorder="1" applyAlignment="1" applyProtection="1">
      <alignment horizontal="left" vertical="center"/>
      <protection locked="0"/>
    </xf>
    <xf numFmtId="0" fontId="15" fillId="3" borderId="6" xfId="0" applyFont="1" applyFill="1" applyBorder="1" applyAlignment="1" applyProtection="1">
      <alignment vertical="center"/>
      <protection locked="0"/>
    </xf>
    <xf numFmtId="14" fontId="16" fillId="3" borderId="6" xfId="0" applyNumberFormat="1" applyFont="1" applyFill="1" applyBorder="1" applyAlignment="1" applyProtection="1">
      <alignment vertical="center"/>
      <protection locked="0"/>
    </xf>
    <xf numFmtId="0" fontId="19" fillId="0" borderId="0" xfId="0" applyFont="1" applyAlignment="1" applyProtection="1">
      <alignment vertical="center" wrapText="1"/>
      <protection locked="0"/>
    </xf>
    <xf numFmtId="0" fontId="15" fillId="0" borderId="40" xfId="0" applyFont="1" applyBorder="1" applyAlignment="1" applyProtection="1">
      <alignment horizontal="left" vertical="center"/>
      <protection locked="0"/>
    </xf>
    <xf numFmtId="0" fontId="16" fillId="0" borderId="4" xfId="0" applyFont="1" applyBorder="1" applyAlignment="1" applyProtection="1">
      <alignment vertical="top"/>
      <protection locked="0"/>
    </xf>
    <xf numFmtId="0" fontId="16" fillId="0" borderId="0" xfId="0" applyFont="1" applyAlignment="1" applyProtection="1">
      <alignment vertical="top" wrapText="1"/>
      <protection locked="0"/>
    </xf>
    <xf numFmtId="0" fontId="16" fillId="0" borderId="1" xfId="0" applyFont="1" applyBorder="1" applyAlignment="1" applyProtection="1">
      <alignment vertical="top" wrapText="1"/>
      <protection locked="0"/>
    </xf>
    <xf numFmtId="0" fontId="16" fillId="0" borderId="4" xfId="0" applyFont="1" applyBorder="1" applyAlignment="1" applyProtection="1">
      <alignment vertical="top" wrapText="1"/>
      <protection locked="0"/>
    </xf>
    <xf numFmtId="0" fontId="18" fillId="4" borderId="0" xfId="0" applyFont="1" applyFill="1" applyAlignment="1" applyProtection="1">
      <alignment vertical="top" wrapText="1"/>
      <protection locked="0"/>
    </xf>
    <xf numFmtId="166" fontId="19" fillId="0" borderId="0" xfId="0" applyNumberFormat="1" applyFont="1" applyAlignment="1" applyProtection="1">
      <alignment vertical="top"/>
      <protection locked="0"/>
    </xf>
    <xf numFmtId="0" fontId="18" fillId="0" borderId="0" xfId="0" applyFont="1" applyAlignment="1" applyProtection="1">
      <alignment vertical="top" wrapText="1"/>
      <protection locked="0"/>
    </xf>
    <xf numFmtId="0" fontId="16" fillId="0" borderId="0" xfId="0" applyFont="1" applyAlignment="1" applyProtection="1">
      <alignment vertical="center" wrapText="1"/>
      <protection locked="0"/>
    </xf>
    <xf numFmtId="0" fontId="16" fillId="0" borderId="2" xfId="0" applyFont="1" applyBorder="1" applyAlignment="1" applyProtection="1">
      <alignment vertical="center" wrapText="1"/>
      <protection locked="0"/>
    </xf>
    <xf numFmtId="0" fontId="15" fillId="0" borderId="62" xfId="0" applyFont="1" applyBorder="1" applyAlignment="1" applyProtection="1">
      <alignment vertical="top"/>
      <protection locked="0"/>
    </xf>
    <xf numFmtId="0" fontId="18" fillId="0" borderId="21"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7" xfId="0" applyFont="1" applyBorder="1" applyAlignment="1" applyProtection="1">
      <alignment horizontal="left" vertical="top" textRotation="90" wrapText="1"/>
      <protection locked="0"/>
    </xf>
    <xf numFmtId="0" fontId="19" fillId="0" borderId="45" xfId="0" applyFont="1" applyBorder="1" applyAlignment="1" applyProtection="1">
      <alignment vertical="top" wrapText="1"/>
      <protection locked="0"/>
    </xf>
    <xf numFmtId="0" fontId="18" fillId="0" borderId="51" xfId="0" applyFont="1" applyBorder="1" applyAlignment="1" applyProtection="1">
      <alignment vertical="top" wrapText="1"/>
      <protection locked="0"/>
    </xf>
    <xf numFmtId="0" fontId="19" fillId="0" borderId="51" xfId="0" applyFont="1" applyBorder="1" applyAlignment="1" applyProtection="1">
      <alignment vertical="top" wrapText="1"/>
      <protection locked="0"/>
    </xf>
    <xf numFmtId="0" fontId="19" fillId="0" borderId="27" xfId="0" applyFont="1" applyBorder="1" applyAlignment="1" applyProtection="1">
      <alignment vertical="top" wrapText="1"/>
      <protection locked="0"/>
    </xf>
    <xf numFmtId="0" fontId="19" fillId="0" borderId="26" xfId="0" applyFont="1" applyBorder="1" applyAlignment="1" applyProtection="1">
      <alignment vertical="top" wrapText="1"/>
      <protection locked="0"/>
    </xf>
    <xf numFmtId="0" fontId="19" fillId="0" borderId="29"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9" fillId="0" borderId="31" xfId="0" applyFont="1" applyBorder="1" applyAlignment="1" applyProtection="1">
      <alignment vertical="top" wrapText="1"/>
      <protection locked="0"/>
    </xf>
    <xf numFmtId="0" fontId="19" fillId="0" borderId="15" xfId="0" applyFont="1" applyBorder="1" applyAlignment="1" applyProtection="1">
      <alignment vertical="top" wrapText="1"/>
      <protection locked="0"/>
    </xf>
    <xf numFmtId="0" fontId="19" fillId="0" borderId="19" xfId="0" applyFont="1" applyBorder="1" applyAlignment="1" applyProtection="1">
      <alignment vertical="top" wrapText="1"/>
      <protection locked="0"/>
    </xf>
    <xf numFmtId="0" fontId="18" fillId="0" borderId="7" xfId="0" applyFont="1" applyBorder="1" applyAlignment="1" applyProtection="1">
      <alignment vertical="top" wrapText="1"/>
      <protection locked="0"/>
    </xf>
    <xf numFmtId="3" fontId="18" fillId="3" borderId="16" xfId="0" applyNumberFormat="1" applyFont="1" applyFill="1" applyBorder="1" applyAlignment="1" applyProtection="1">
      <alignment vertical="top"/>
      <protection locked="0"/>
    </xf>
    <xf numFmtId="3" fontId="19" fillId="3" borderId="46" xfId="0" applyNumberFormat="1" applyFont="1" applyFill="1" applyBorder="1" applyAlignment="1" applyProtection="1">
      <alignment vertical="top"/>
      <protection locked="0"/>
    </xf>
    <xf numFmtId="164" fontId="19" fillId="0" borderId="46" xfId="1" applyNumberFormat="1" applyFont="1" applyFill="1" applyBorder="1" applyAlignment="1" applyProtection="1">
      <alignment vertical="top" wrapText="1"/>
      <protection locked="0"/>
    </xf>
    <xf numFmtId="3" fontId="19" fillId="0" borderId="16" xfId="0" applyNumberFormat="1" applyFont="1" applyBorder="1" applyAlignment="1" applyProtection="1">
      <alignment vertical="top" wrapText="1"/>
      <protection locked="0"/>
    </xf>
    <xf numFmtId="9" fontId="19" fillId="0" borderId="42" xfId="0" applyNumberFormat="1" applyFont="1" applyBorder="1" applyAlignment="1" applyProtection="1">
      <alignment horizontal="right" vertical="top"/>
      <protection locked="0"/>
    </xf>
    <xf numFmtId="3" fontId="19" fillId="3" borderId="16" xfId="0" applyNumberFormat="1" applyFont="1" applyFill="1" applyBorder="1" applyAlignment="1" applyProtection="1">
      <alignment vertical="top"/>
      <protection locked="0"/>
    </xf>
    <xf numFmtId="3" fontId="18" fillId="3" borderId="41" xfId="0" applyNumberFormat="1" applyFont="1" applyFill="1" applyBorder="1" applyAlignment="1" applyProtection="1">
      <alignment vertical="top"/>
      <protection locked="0"/>
    </xf>
    <xf numFmtId="3" fontId="19" fillId="3" borderId="44" xfId="0" applyNumberFormat="1" applyFont="1" applyFill="1" applyBorder="1" applyAlignment="1" applyProtection="1">
      <alignment vertical="top"/>
      <protection locked="0"/>
    </xf>
    <xf numFmtId="164" fontId="19" fillId="0" borderId="44" xfId="1" applyNumberFormat="1" applyFont="1" applyFill="1" applyBorder="1" applyAlignment="1" applyProtection="1">
      <alignment vertical="top" wrapText="1"/>
      <protection locked="0"/>
    </xf>
    <xf numFmtId="3" fontId="19" fillId="0" borderId="41" xfId="0" applyNumberFormat="1" applyFont="1" applyBorder="1" applyAlignment="1" applyProtection="1">
      <alignment vertical="top" wrapText="1"/>
      <protection locked="0"/>
    </xf>
    <xf numFmtId="3" fontId="19" fillId="3" borderId="41" xfId="0" applyNumberFormat="1" applyFont="1" applyFill="1" applyBorder="1" applyAlignment="1" applyProtection="1">
      <alignment vertical="top"/>
      <protection locked="0"/>
    </xf>
    <xf numFmtId="3" fontId="18" fillId="3" borderId="78" xfId="0" applyNumberFormat="1" applyFont="1" applyFill="1" applyBorder="1" applyAlignment="1" applyProtection="1">
      <alignment vertical="top"/>
      <protection locked="0"/>
    </xf>
    <xf numFmtId="3" fontId="19" fillId="3" borderId="43" xfId="0" applyNumberFormat="1" applyFont="1" applyFill="1" applyBorder="1" applyAlignment="1" applyProtection="1">
      <alignment vertical="top"/>
      <protection locked="0"/>
    </xf>
    <xf numFmtId="3" fontId="19" fillId="0" borderId="78" xfId="0" applyNumberFormat="1" applyFont="1" applyBorder="1" applyAlignment="1" applyProtection="1">
      <alignment vertical="top" wrapText="1"/>
      <protection locked="0"/>
    </xf>
    <xf numFmtId="9" fontId="19" fillId="0" borderId="30" xfId="0" applyNumberFormat="1" applyFont="1" applyBorder="1" applyAlignment="1" applyProtection="1">
      <alignment horizontal="right" vertical="top"/>
      <protection locked="0"/>
    </xf>
    <xf numFmtId="3" fontId="19" fillId="3" borderId="78" xfId="0" applyNumberFormat="1" applyFont="1" applyFill="1" applyBorder="1" applyAlignment="1" applyProtection="1">
      <alignment vertical="top"/>
      <protection locked="0"/>
    </xf>
    <xf numFmtId="3" fontId="18" fillId="3" borderId="77" xfId="0" applyNumberFormat="1" applyFont="1" applyFill="1" applyBorder="1" applyAlignment="1" applyProtection="1">
      <alignment vertical="top"/>
      <protection locked="0"/>
    </xf>
    <xf numFmtId="3" fontId="19" fillId="3" borderId="64" xfId="0" applyNumberFormat="1" applyFont="1" applyFill="1" applyBorder="1" applyAlignment="1" applyProtection="1">
      <alignment vertical="top"/>
      <protection locked="0"/>
    </xf>
    <xf numFmtId="164" fontId="19" fillId="0" borderId="64" xfId="1" applyNumberFormat="1" applyFont="1" applyFill="1" applyBorder="1" applyAlignment="1" applyProtection="1">
      <alignment vertical="top" wrapText="1"/>
      <protection locked="0"/>
    </xf>
    <xf numFmtId="3" fontId="19" fillId="0" borderId="77" xfId="0" applyNumberFormat="1" applyFont="1" applyBorder="1" applyAlignment="1" applyProtection="1">
      <alignment vertical="top" wrapText="1"/>
      <protection locked="0"/>
    </xf>
    <xf numFmtId="9" fontId="19" fillId="0" borderId="64" xfId="0" applyNumberFormat="1" applyFont="1" applyBorder="1" applyAlignment="1" applyProtection="1">
      <alignment horizontal="right" vertical="top"/>
      <protection locked="0"/>
    </xf>
    <xf numFmtId="3" fontId="19" fillId="3" borderId="77" xfId="0" applyNumberFormat="1" applyFont="1" applyFill="1" applyBorder="1" applyAlignment="1" applyProtection="1">
      <alignment vertical="top"/>
      <protection locked="0"/>
    </xf>
    <xf numFmtId="0" fontId="18" fillId="0" borderId="3" xfId="0" applyFont="1" applyBorder="1" applyAlignment="1" applyProtection="1">
      <alignment vertical="top"/>
      <protection locked="0"/>
    </xf>
    <xf numFmtId="0" fontId="19" fillId="0" borderId="3" xfId="0" applyFont="1" applyBorder="1" applyAlignment="1" applyProtection="1">
      <alignment vertical="top"/>
      <protection locked="0"/>
    </xf>
    <xf numFmtId="3" fontId="19" fillId="3" borderId="20" xfId="0" applyNumberFormat="1" applyFont="1" applyFill="1" applyBorder="1" applyAlignment="1" applyProtection="1">
      <alignment vertical="top" wrapText="1"/>
      <protection locked="0"/>
    </xf>
    <xf numFmtId="3" fontId="19" fillId="3" borderId="36" xfId="0" applyNumberFormat="1" applyFont="1" applyFill="1" applyBorder="1" applyAlignment="1" applyProtection="1">
      <alignment vertical="top" wrapText="1"/>
      <protection locked="0"/>
    </xf>
    <xf numFmtId="0" fontId="15" fillId="3" borderId="0" xfId="0" applyFont="1" applyFill="1" applyAlignment="1" applyProtection="1">
      <alignment vertical="top" wrapText="1"/>
      <protection locked="0"/>
    </xf>
    <xf numFmtId="0" fontId="19" fillId="3" borderId="16" xfId="0" applyFont="1" applyFill="1" applyBorder="1" applyAlignment="1" applyProtection="1">
      <alignment vertical="top" wrapText="1"/>
      <protection locked="0"/>
    </xf>
    <xf numFmtId="0" fontId="19" fillId="3" borderId="41" xfId="0" applyFont="1" applyFill="1" applyBorder="1" applyAlignment="1" applyProtection="1">
      <alignment vertical="top" wrapText="1"/>
      <protection locked="0"/>
    </xf>
    <xf numFmtId="0" fontId="19" fillId="3" borderId="78" xfId="0" applyFont="1" applyFill="1" applyBorder="1" applyAlignment="1" applyProtection="1">
      <alignment vertical="top" wrapText="1"/>
      <protection locked="0"/>
    </xf>
    <xf numFmtId="0" fontId="19" fillId="3" borderId="77" xfId="0" applyFont="1" applyFill="1" applyBorder="1" applyAlignment="1" applyProtection="1">
      <alignment vertical="top" wrapText="1"/>
      <protection locked="0"/>
    </xf>
    <xf numFmtId="0" fontId="18" fillId="0" borderId="35" xfId="0" applyFont="1" applyBorder="1" applyAlignment="1" applyProtection="1">
      <alignment vertical="top" wrapText="1"/>
      <protection locked="0"/>
    </xf>
    <xf numFmtId="0" fontId="18" fillId="0" borderId="0" xfId="0" quotePrefix="1" applyFont="1" applyAlignment="1" applyProtection="1">
      <alignment vertical="top" wrapText="1"/>
      <protection locked="0"/>
    </xf>
    <xf numFmtId="0" fontId="26" fillId="2" borderId="0" xfId="0" applyFont="1" applyFill="1" applyAlignment="1" applyProtection="1">
      <alignment horizontal="left" vertical="center"/>
      <protection locked="0"/>
    </xf>
    <xf numFmtId="0" fontId="19" fillId="0" borderId="0" xfId="3" applyFont="1" applyFill="1" applyAlignment="1" applyProtection="1">
      <alignment horizontal="left" vertical="center"/>
      <protection locked="0"/>
    </xf>
    <xf numFmtId="0" fontId="15" fillId="3" borderId="0" xfId="0" applyFont="1" applyFill="1" applyAlignment="1" applyProtection="1">
      <alignment vertical="center"/>
      <protection locked="0"/>
    </xf>
    <xf numFmtId="0" fontId="19" fillId="0" borderId="1" xfId="0" applyFont="1" applyBorder="1" applyAlignment="1" applyProtection="1">
      <alignment vertical="top" wrapText="1"/>
      <protection locked="0"/>
    </xf>
    <xf numFmtId="0" fontId="19" fillId="0" borderId="9" xfId="0" applyFont="1" applyBorder="1" applyAlignment="1" applyProtection="1">
      <alignment vertical="top" wrapText="1"/>
      <protection locked="0"/>
    </xf>
    <xf numFmtId="3" fontId="19" fillId="3" borderId="0" xfId="0" applyNumberFormat="1" applyFont="1" applyFill="1" applyAlignment="1" applyProtection="1">
      <alignment vertical="top"/>
      <protection locked="0"/>
    </xf>
    <xf numFmtId="0" fontId="19" fillId="0" borderId="7" xfId="0" applyFont="1" applyBorder="1" applyAlignment="1" applyProtection="1">
      <alignment horizontal="left" vertical="center" indent="1"/>
      <protection locked="0"/>
    </xf>
    <xf numFmtId="3" fontId="19" fillId="3" borderId="7" xfId="0" applyNumberFormat="1" applyFont="1" applyFill="1" applyBorder="1" applyAlignment="1" applyProtection="1">
      <alignment vertical="top"/>
      <protection locked="0"/>
    </xf>
    <xf numFmtId="3" fontId="19" fillId="0" borderId="7" xfId="0" applyNumberFormat="1" applyFont="1" applyBorder="1" applyAlignment="1" applyProtection="1">
      <alignment vertical="top"/>
      <protection locked="0"/>
    </xf>
    <xf numFmtId="0" fontId="16" fillId="0" borderId="60" xfId="0" applyFont="1" applyBorder="1" applyAlignment="1" applyProtection="1">
      <alignment vertical="top"/>
      <protection locked="0"/>
    </xf>
    <xf numFmtId="0" fontId="15" fillId="0" borderId="2" xfId="0" applyFont="1" applyBorder="1" applyAlignment="1" applyProtection="1">
      <alignment vertical="top"/>
      <protection locked="0"/>
    </xf>
    <xf numFmtId="0" fontId="18" fillId="0" borderId="7" xfId="0" applyFont="1" applyBorder="1" applyAlignment="1" applyProtection="1">
      <alignment vertical="top"/>
      <protection locked="0"/>
    </xf>
    <xf numFmtId="3" fontId="19" fillId="0" borderId="0" xfId="0" applyNumberFormat="1" applyFont="1" applyAlignment="1" applyProtection="1">
      <alignment vertical="top"/>
      <protection locked="0"/>
    </xf>
    <xf numFmtId="0" fontId="19" fillId="3" borderId="7" xfId="0" applyFont="1" applyFill="1" applyBorder="1" applyAlignment="1" applyProtection="1">
      <alignment horizontal="left" vertical="center" indent="1"/>
      <protection locked="0"/>
    </xf>
    <xf numFmtId="0" fontId="15" fillId="0" borderId="9" xfId="0" applyFont="1" applyBorder="1" applyAlignment="1" applyProtection="1">
      <alignment vertical="top" wrapText="1"/>
      <protection locked="0"/>
    </xf>
    <xf numFmtId="9" fontId="16" fillId="0" borderId="0" xfId="1" applyFont="1" applyAlignment="1" applyProtection="1">
      <alignment vertical="top"/>
      <protection locked="0"/>
    </xf>
    <xf numFmtId="0" fontId="15" fillId="3" borderId="7" xfId="0" applyFont="1" applyFill="1" applyBorder="1" applyAlignment="1" applyProtection="1">
      <alignment vertical="top"/>
      <protection locked="0"/>
    </xf>
    <xf numFmtId="3" fontId="19" fillId="0" borderId="4" xfId="0" applyNumberFormat="1" applyFont="1" applyBorder="1" applyAlignment="1" applyProtection="1">
      <alignment vertical="top"/>
      <protection locked="0"/>
    </xf>
    <xf numFmtId="0" fontId="15" fillId="0" borderId="1" xfId="0" applyFont="1" applyBorder="1" applyProtection="1">
      <protection locked="0"/>
    </xf>
    <xf numFmtId="0" fontId="16" fillId="0" borderId="1" xfId="0" applyFont="1" applyBorder="1" applyProtection="1">
      <protection locked="0"/>
    </xf>
    <xf numFmtId="9" fontId="16" fillId="3" borderId="7" xfId="0" quotePrefix="1" applyNumberFormat="1" applyFont="1" applyFill="1" applyBorder="1" applyAlignment="1" applyProtection="1">
      <alignment horizontal="right"/>
      <protection locked="0"/>
    </xf>
    <xf numFmtId="0" fontId="16" fillId="0" borderId="3" xfId="0" applyFont="1" applyBorder="1" applyProtection="1">
      <protection locked="0"/>
    </xf>
    <xf numFmtId="0" fontId="16" fillId="0" borderId="28" xfId="0" applyFont="1" applyBorder="1" applyProtection="1">
      <protection locked="0"/>
    </xf>
    <xf numFmtId="0" fontId="19" fillId="0" borderId="8" xfId="0" applyFont="1" applyBorder="1" applyAlignment="1" applyProtection="1">
      <alignment vertical="top"/>
      <protection locked="0"/>
    </xf>
    <xf numFmtId="0" fontId="21" fillId="2" borderId="0" xfId="0" applyFont="1" applyFill="1" applyAlignment="1" applyProtection="1">
      <alignment vertical="top" wrapText="1"/>
      <protection locked="0"/>
    </xf>
    <xf numFmtId="0" fontId="22" fillId="2" borderId="0" xfId="0" applyFont="1" applyFill="1" applyAlignment="1" applyProtection="1">
      <alignment vertical="top"/>
      <protection locked="0"/>
    </xf>
    <xf numFmtId="3" fontId="18" fillId="0" borderId="2" xfId="0" applyNumberFormat="1" applyFont="1" applyBorder="1" applyAlignment="1" applyProtection="1">
      <alignment horizontal="left" vertical="center" wrapText="1"/>
      <protection locked="0"/>
    </xf>
    <xf numFmtId="3" fontId="18" fillId="0" borderId="9" xfId="0" applyNumberFormat="1" applyFont="1" applyBorder="1" applyAlignment="1" applyProtection="1">
      <alignment horizontal="left" vertical="center" wrapText="1"/>
      <protection locked="0"/>
    </xf>
    <xf numFmtId="0" fontId="24" fillId="0" borderId="2" xfId="0" applyFont="1" applyBorder="1" applyAlignment="1" applyProtection="1">
      <alignment vertical="center" wrapText="1"/>
      <protection locked="0"/>
    </xf>
    <xf numFmtId="0" fontId="27" fillId="10" borderId="88" xfId="0" applyFont="1" applyFill="1" applyBorder="1" applyAlignment="1" applyProtection="1">
      <alignment vertical="center" wrapText="1"/>
      <protection locked="0"/>
    </xf>
    <xf numFmtId="0" fontId="27" fillId="0" borderId="88" xfId="0" applyFont="1" applyBorder="1" applyAlignment="1" applyProtection="1">
      <alignment vertical="center" wrapText="1"/>
      <protection locked="0"/>
    </xf>
    <xf numFmtId="0" fontId="24" fillId="0" borderId="4" xfId="0" applyFont="1" applyBorder="1" applyAlignment="1" applyProtection="1">
      <alignment vertical="center" wrapText="1"/>
      <protection locked="0"/>
    </xf>
    <xf numFmtId="0" fontId="19" fillId="4" borderId="20" xfId="0" applyFont="1" applyFill="1" applyBorder="1" applyAlignment="1" applyProtection="1">
      <alignment vertical="top" wrapText="1"/>
      <protection locked="0"/>
    </xf>
    <xf numFmtId="0" fontId="19" fillId="4" borderId="40" xfId="0" applyFont="1" applyFill="1" applyBorder="1" applyAlignment="1" applyProtection="1">
      <alignment vertical="center"/>
      <protection locked="0"/>
    </xf>
    <xf numFmtId="0" fontId="19" fillId="4" borderId="6" xfId="0" applyFont="1" applyFill="1" applyBorder="1" applyAlignment="1" applyProtection="1">
      <alignment vertical="top" wrapText="1"/>
      <protection locked="0"/>
    </xf>
    <xf numFmtId="3" fontId="19" fillId="0" borderId="36" xfId="0" applyNumberFormat="1" applyFont="1" applyBorder="1" applyAlignment="1" applyProtection="1">
      <alignment vertical="top"/>
      <protection locked="0"/>
    </xf>
    <xf numFmtId="3" fontId="18" fillId="0" borderId="73" xfId="0" applyNumberFormat="1" applyFont="1" applyBorder="1" applyAlignment="1" applyProtection="1">
      <alignment vertical="top"/>
      <protection locked="0"/>
    </xf>
    <xf numFmtId="9" fontId="19" fillId="0" borderId="61" xfId="1" applyFont="1" applyBorder="1" applyAlignment="1" applyProtection="1">
      <alignment vertical="top" wrapText="1"/>
      <protection locked="0"/>
    </xf>
    <xf numFmtId="10" fontId="19" fillId="0" borderId="36" xfId="1" applyNumberFormat="1" applyFont="1" applyFill="1" applyBorder="1" applyAlignment="1" applyProtection="1">
      <alignment vertical="top" wrapText="1"/>
      <protection locked="0"/>
    </xf>
    <xf numFmtId="9" fontId="19" fillId="0" borderId="17" xfId="1" applyFont="1" applyBorder="1" applyAlignment="1" applyProtection="1">
      <alignment vertical="top" wrapText="1"/>
      <protection locked="0"/>
    </xf>
    <xf numFmtId="164" fontId="19" fillId="0" borderId="36" xfId="1" applyNumberFormat="1" applyFont="1" applyFill="1" applyBorder="1" applyAlignment="1" applyProtection="1">
      <alignment vertical="top" wrapText="1"/>
      <protection locked="0"/>
    </xf>
    <xf numFmtId="3" fontId="19" fillId="0" borderId="36" xfId="0" applyNumberFormat="1" applyFont="1" applyBorder="1" applyAlignment="1" applyProtection="1">
      <alignment vertical="top" wrapText="1"/>
      <protection locked="0"/>
    </xf>
    <xf numFmtId="0" fontId="19" fillId="4" borderId="40" xfId="0" applyFont="1" applyFill="1" applyBorder="1" applyAlignment="1" applyProtection="1">
      <alignment vertical="top" wrapText="1"/>
      <protection locked="0"/>
    </xf>
    <xf numFmtId="0" fontId="19" fillId="4" borderId="36" xfId="0" applyFont="1" applyFill="1" applyBorder="1" applyAlignment="1" applyProtection="1">
      <alignment vertical="top" wrapText="1"/>
      <protection locked="0"/>
    </xf>
    <xf numFmtId="3" fontId="18" fillId="0" borderId="74" xfId="0" applyNumberFormat="1" applyFont="1" applyBorder="1" applyAlignment="1" applyProtection="1">
      <alignment vertical="top"/>
      <protection locked="0"/>
    </xf>
    <xf numFmtId="0" fontId="19" fillId="4" borderId="79" xfId="0" applyFont="1" applyFill="1" applyBorder="1" applyAlignment="1" applyProtection="1">
      <alignment vertical="top" wrapText="1"/>
      <protection locked="0"/>
    </xf>
    <xf numFmtId="0" fontId="19" fillId="4" borderId="37" xfId="0" applyFont="1" applyFill="1" applyBorder="1" applyAlignment="1" applyProtection="1">
      <alignment vertical="top" wrapText="1"/>
      <protection locked="0"/>
    </xf>
    <xf numFmtId="3" fontId="18" fillId="0" borderId="49" xfId="0" applyNumberFormat="1" applyFont="1" applyBorder="1" applyAlignment="1" applyProtection="1">
      <alignment vertical="top"/>
      <protection locked="0"/>
    </xf>
    <xf numFmtId="0" fontId="19" fillId="4" borderId="70" xfId="0" applyFont="1" applyFill="1" applyBorder="1" applyAlignment="1" applyProtection="1">
      <alignment vertical="top" wrapText="1"/>
      <protection locked="0"/>
    </xf>
    <xf numFmtId="0" fontId="19" fillId="4" borderId="65" xfId="0" applyFont="1" applyFill="1" applyBorder="1" applyAlignment="1" applyProtection="1">
      <alignment vertical="top" wrapText="1"/>
      <protection locked="0"/>
    </xf>
    <xf numFmtId="3" fontId="18" fillId="0" borderId="80" xfId="0" applyNumberFormat="1" applyFont="1" applyBorder="1" applyAlignment="1" applyProtection="1">
      <alignment vertical="top"/>
      <protection locked="0"/>
    </xf>
    <xf numFmtId="0" fontId="34" fillId="5" borderId="51" xfId="4" applyFont="1" applyFill="1" applyBorder="1" applyAlignment="1" applyProtection="1">
      <alignment vertical="center" wrapText="1"/>
      <protection locked="0"/>
    </xf>
    <xf numFmtId="0" fontId="15" fillId="5" borderId="86" xfId="4" applyFont="1" applyFill="1" applyBorder="1" applyAlignment="1" applyProtection="1">
      <alignment horizontal="center" vertical="center" wrapText="1"/>
      <protection locked="0"/>
    </xf>
    <xf numFmtId="49" fontId="34" fillId="2" borderId="45" xfId="4" applyNumberFormat="1" applyFont="1" applyFill="1" applyBorder="1" applyAlignment="1" applyProtection="1">
      <alignment horizontal="center" vertical="center" wrapText="1"/>
      <protection locked="0"/>
    </xf>
    <xf numFmtId="49" fontId="34" fillId="2" borderId="82" xfId="4" applyNumberFormat="1" applyFont="1" applyFill="1" applyBorder="1" applyAlignment="1" applyProtection="1">
      <alignment horizontal="center" vertical="center" wrapText="1"/>
      <protection locked="0"/>
    </xf>
    <xf numFmtId="3" fontId="36" fillId="3" borderId="60" xfId="4" applyNumberFormat="1" applyFont="1" applyFill="1" applyBorder="1" applyAlignment="1" applyProtection="1">
      <alignment vertical="top" wrapText="1"/>
      <protection locked="0"/>
    </xf>
    <xf numFmtId="0" fontId="36" fillId="3" borderId="60" xfId="4" applyFont="1" applyFill="1" applyBorder="1" applyAlignment="1" applyProtection="1">
      <alignment vertical="top" wrapText="1"/>
      <protection locked="0"/>
    </xf>
    <xf numFmtId="4" fontId="36" fillId="3" borderId="34" xfId="4" applyNumberFormat="1" applyFont="1" applyFill="1" applyBorder="1" applyAlignment="1" applyProtection="1">
      <alignment vertical="top" wrapText="1"/>
      <protection locked="0"/>
    </xf>
    <xf numFmtId="4" fontId="36" fillId="3" borderId="30" xfId="4" applyNumberFormat="1" applyFont="1" applyFill="1" applyBorder="1" applyAlignment="1" applyProtection="1">
      <alignment vertical="top" wrapText="1"/>
      <protection locked="0"/>
    </xf>
    <xf numFmtId="0" fontId="35" fillId="0" borderId="0" xfId="4" applyFont="1" applyProtection="1">
      <protection locked="0"/>
    </xf>
    <xf numFmtId="0" fontId="35" fillId="0" borderId="0" xfId="4" applyFont="1" applyAlignment="1" applyProtection="1">
      <alignment wrapText="1"/>
      <protection locked="0"/>
    </xf>
    <xf numFmtId="0" fontId="36" fillId="3" borderId="51" xfId="4" applyFont="1" applyFill="1" applyBorder="1" applyAlignment="1" applyProtection="1">
      <alignment vertical="top" wrapText="1"/>
      <protection locked="0"/>
    </xf>
    <xf numFmtId="3" fontId="36" fillId="3" borderId="82" xfId="4" applyNumberFormat="1" applyFont="1" applyFill="1" applyBorder="1" applyAlignment="1" applyProtection="1">
      <alignment vertical="top" wrapText="1"/>
      <protection locked="0"/>
    </xf>
    <xf numFmtId="3" fontId="36" fillId="3" borderId="45" xfId="4" applyNumberFormat="1" applyFont="1" applyFill="1" applyBorder="1" applyAlignment="1" applyProtection="1">
      <alignment vertical="top" wrapText="1"/>
      <protection locked="0"/>
    </xf>
    <xf numFmtId="0" fontId="36" fillId="3" borderId="50" xfId="4" applyFont="1" applyFill="1" applyBorder="1" applyAlignment="1" applyProtection="1">
      <alignment vertical="top" wrapText="1"/>
      <protection locked="0"/>
    </xf>
    <xf numFmtId="0" fontId="18" fillId="0" borderId="15" xfId="0" applyFont="1" applyBorder="1" applyAlignment="1" applyProtection="1">
      <alignment horizontal="right" vertical="center" wrapText="1"/>
      <protection locked="0"/>
    </xf>
    <xf numFmtId="0" fontId="18" fillId="0" borderId="45" xfId="0" applyFont="1" applyBorder="1" applyAlignment="1" applyProtection="1">
      <alignment horizontal="right" vertical="center" wrapText="1"/>
      <protection locked="0"/>
    </xf>
    <xf numFmtId="3" fontId="18" fillId="3" borderId="11" xfId="0" applyNumberFormat="1" applyFont="1" applyFill="1" applyBorder="1" applyAlignment="1" applyProtection="1">
      <alignment vertical="top"/>
      <protection locked="0"/>
    </xf>
    <xf numFmtId="3" fontId="18" fillId="3" borderId="21" xfId="0" applyNumberFormat="1" applyFont="1" applyFill="1" applyBorder="1" applyAlignment="1" applyProtection="1">
      <alignment vertical="top"/>
      <protection locked="0"/>
    </xf>
    <xf numFmtId="3" fontId="18" fillId="3" borderId="30" xfId="0" applyNumberFormat="1" applyFont="1" applyFill="1" applyBorder="1" applyAlignment="1" applyProtection="1">
      <alignment vertical="top"/>
      <protection locked="0"/>
    </xf>
    <xf numFmtId="3" fontId="19" fillId="0" borderId="27" xfId="0" applyNumberFormat="1" applyFont="1" applyBorder="1" applyAlignment="1" applyProtection="1">
      <alignment vertical="top"/>
      <protection locked="0"/>
    </xf>
    <xf numFmtId="3" fontId="19" fillId="0" borderId="31" xfId="0" applyNumberFormat="1" applyFont="1" applyBorder="1" applyAlignment="1" applyProtection="1">
      <alignment vertical="top"/>
      <protection locked="0"/>
    </xf>
    <xf numFmtId="3" fontId="19" fillId="0" borderId="21" xfId="0" applyNumberFormat="1" applyFont="1" applyBorder="1" applyAlignment="1" applyProtection="1">
      <alignment vertical="top"/>
      <protection locked="0"/>
    </xf>
    <xf numFmtId="3" fontId="19" fillId="0" borderId="30" xfId="0" applyNumberFormat="1" applyFont="1" applyBorder="1" applyAlignment="1" applyProtection="1">
      <alignment vertical="top"/>
      <protection locked="0"/>
    </xf>
    <xf numFmtId="3" fontId="19" fillId="3" borderId="11" xfId="0" applyNumberFormat="1" applyFont="1" applyFill="1" applyBorder="1" applyAlignment="1" applyProtection="1">
      <alignment vertical="top"/>
      <protection locked="0"/>
    </xf>
    <xf numFmtId="3" fontId="19" fillId="3" borderId="21" xfId="0" applyNumberFormat="1" applyFont="1" applyFill="1" applyBorder="1" applyAlignment="1" applyProtection="1">
      <alignment vertical="top"/>
      <protection locked="0"/>
    </xf>
    <xf numFmtId="3" fontId="19" fillId="3" borderId="39" xfId="0" applyNumberFormat="1" applyFont="1" applyFill="1" applyBorder="1" applyAlignment="1" applyProtection="1">
      <alignment vertical="top"/>
      <protection locked="0"/>
    </xf>
    <xf numFmtId="3" fontId="19" fillId="3" borderId="30" xfId="0" applyNumberFormat="1" applyFont="1" applyFill="1" applyBorder="1" applyAlignment="1" applyProtection="1">
      <alignment vertical="top"/>
      <protection locked="0"/>
    </xf>
    <xf numFmtId="3" fontId="19" fillId="0" borderId="81" xfId="0" applyNumberFormat="1" applyFont="1" applyBorder="1" applyAlignment="1" applyProtection="1">
      <alignment vertical="top"/>
      <protection locked="0"/>
    </xf>
    <xf numFmtId="3" fontId="18" fillId="0" borderId="11" xfId="0" applyNumberFormat="1" applyFont="1" applyBorder="1" applyAlignment="1" applyProtection="1">
      <alignment vertical="top"/>
      <protection locked="0"/>
    </xf>
    <xf numFmtId="3" fontId="18" fillId="0" borderId="21" xfId="0" applyNumberFormat="1" applyFont="1" applyBorder="1" applyAlignment="1" applyProtection="1">
      <alignment vertical="top"/>
      <protection locked="0"/>
    </xf>
    <xf numFmtId="3" fontId="18" fillId="0" borderId="30" xfId="0" applyNumberFormat="1" applyFont="1" applyBorder="1" applyAlignment="1" applyProtection="1">
      <alignment vertical="top"/>
      <protection locked="0"/>
    </xf>
    <xf numFmtId="9" fontId="17" fillId="0" borderId="26" xfId="1" applyFont="1" applyBorder="1" applyAlignment="1" applyProtection="1">
      <alignment horizontal="right"/>
      <protection locked="0"/>
    </xf>
    <xf numFmtId="9" fontId="17" fillId="0" borderId="27" xfId="1" applyFont="1" applyBorder="1" applyAlignment="1" applyProtection="1">
      <alignment horizontal="right"/>
      <protection locked="0"/>
    </xf>
    <xf numFmtId="9" fontId="17" fillId="0" borderId="31" xfId="1" applyFont="1" applyBorder="1" applyAlignment="1" applyProtection="1">
      <alignment horizontal="right"/>
      <protection locked="0"/>
    </xf>
    <xf numFmtId="3" fontId="18" fillId="0" borderId="21" xfId="0" applyNumberFormat="1" applyFont="1" applyBorder="1" applyProtection="1">
      <protection locked="0"/>
    </xf>
    <xf numFmtId="3" fontId="18" fillId="0" borderId="30" xfId="0" applyNumberFormat="1" applyFont="1" applyBorder="1" applyProtection="1">
      <protection locked="0"/>
    </xf>
    <xf numFmtId="3" fontId="19" fillId="0" borderId="66" xfId="0" applyNumberFormat="1" applyFont="1" applyBorder="1" applyProtection="1">
      <protection locked="0"/>
    </xf>
    <xf numFmtId="3" fontId="19" fillId="0" borderId="76" xfId="0" applyNumberFormat="1" applyFont="1" applyBorder="1" applyProtection="1">
      <protection locked="0"/>
    </xf>
    <xf numFmtId="3" fontId="19" fillId="0" borderId="22" xfId="0" applyNumberFormat="1" applyFont="1" applyBorder="1" applyAlignment="1" applyProtection="1">
      <alignment horizontal="right" vertical="center" wrapText="1"/>
      <protection locked="0"/>
    </xf>
    <xf numFmtId="3" fontId="19" fillId="0" borderId="20" xfId="0" applyNumberFormat="1" applyFont="1" applyBorder="1" applyAlignment="1" applyProtection="1">
      <alignment horizontal="right" vertical="center" wrapText="1"/>
      <protection locked="0"/>
    </xf>
    <xf numFmtId="3" fontId="19" fillId="0" borderId="46" xfId="0" applyNumberFormat="1" applyFont="1" applyBorder="1" applyAlignment="1" applyProtection="1">
      <alignment horizontal="right" vertical="center" wrapText="1"/>
      <protection locked="0"/>
    </xf>
    <xf numFmtId="3" fontId="18" fillId="2" borderId="2" xfId="0" applyNumberFormat="1" applyFont="1" applyFill="1" applyBorder="1" applyProtection="1">
      <protection locked="0"/>
    </xf>
    <xf numFmtId="3" fontId="32" fillId="0" borderId="0" xfId="0" applyNumberFormat="1" applyFont="1" applyProtection="1">
      <protection locked="0"/>
    </xf>
    <xf numFmtId="3" fontId="19" fillId="4" borderId="50" xfId="0" applyNumberFormat="1" applyFont="1" applyFill="1" applyBorder="1" applyProtection="1">
      <protection locked="0"/>
    </xf>
    <xf numFmtId="3" fontId="19" fillId="4" borderId="60" xfId="0" applyNumberFormat="1" applyFont="1" applyFill="1" applyBorder="1" applyProtection="1">
      <protection locked="0"/>
    </xf>
    <xf numFmtId="3" fontId="19" fillId="4" borderId="68" xfId="0" applyNumberFormat="1" applyFont="1" applyFill="1" applyBorder="1" applyProtection="1">
      <protection locked="0"/>
    </xf>
    <xf numFmtId="3" fontId="19" fillId="0" borderId="5" xfId="0" applyNumberFormat="1" applyFont="1" applyBorder="1" applyAlignment="1" applyProtection="1">
      <alignment vertical="top" wrapText="1"/>
      <protection locked="0"/>
    </xf>
    <xf numFmtId="3" fontId="19" fillId="0" borderId="67" xfId="0" applyNumberFormat="1" applyFont="1" applyBorder="1" applyAlignment="1" applyProtection="1">
      <alignment vertical="top" wrapText="1"/>
      <protection locked="0"/>
    </xf>
    <xf numFmtId="3" fontId="19" fillId="0" borderId="40" xfId="0" applyNumberFormat="1" applyFont="1" applyBorder="1" applyAlignment="1" applyProtection="1">
      <alignment vertical="top" wrapText="1"/>
      <protection locked="0"/>
    </xf>
    <xf numFmtId="3" fontId="19" fillId="0" borderId="69" xfId="0" applyNumberFormat="1" applyFont="1" applyBorder="1" applyAlignment="1" applyProtection="1">
      <alignment vertical="top" wrapText="1"/>
      <protection locked="0"/>
    </xf>
    <xf numFmtId="3" fontId="19" fillId="0" borderId="84" xfId="0" applyNumberFormat="1" applyFont="1" applyBorder="1" applyAlignment="1" applyProtection="1">
      <alignment vertical="top" wrapText="1"/>
      <protection locked="0"/>
    </xf>
    <xf numFmtId="3" fontId="19" fillId="0" borderId="20" xfId="0" applyNumberFormat="1" applyFont="1" applyBorder="1" applyAlignment="1" applyProtection="1">
      <alignment vertical="top" wrapText="1"/>
      <protection locked="0"/>
    </xf>
    <xf numFmtId="0" fontId="18" fillId="3" borderId="1" xfId="0" applyFont="1" applyFill="1" applyBorder="1" applyAlignment="1" applyProtection="1">
      <alignment horizontal="left" vertical="center" wrapText="1"/>
      <protection locked="0"/>
    </xf>
    <xf numFmtId="0" fontId="18" fillId="3" borderId="9" xfId="0" applyFont="1" applyFill="1" applyBorder="1" applyAlignment="1" applyProtection="1">
      <alignment horizontal="left" vertical="center" wrapText="1"/>
      <protection locked="0"/>
    </xf>
    <xf numFmtId="0" fontId="18" fillId="0" borderId="9" xfId="0" applyFont="1" applyBorder="1" applyAlignment="1" applyProtection="1">
      <alignment vertical="center"/>
      <protection locked="0"/>
    </xf>
    <xf numFmtId="3" fontId="15" fillId="0" borderId="2" xfId="0" applyNumberFormat="1" applyFont="1" applyBorder="1" applyAlignment="1" applyProtection="1">
      <alignment vertical="top"/>
      <protection locked="0"/>
    </xf>
    <xf numFmtId="3" fontId="15" fillId="0" borderId="9" xfId="0" applyNumberFormat="1" applyFont="1" applyBorder="1" applyAlignment="1" applyProtection="1">
      <alignment vertical="top"/>
      <protection locked="0"/>
    </xf>
    <xf numFmtId="3" fontId="19" fillId="0" borderId="10" xfId="0" applyNumberFormat="1" applyFont="1" applyBorder="1" applyAlignment="1" applyProtection="1">
      <alignment vertical="top"/>
      <protection locked="0"/>
    </xf>
    <xf numFmtId="3" fontId="16" fillId="0" borderId="0" xfId="0" applyNumberFormat="1" applyFont="1" applyProtection="1">
      <protection locked="0"/>
    </xf>
    <xf numFmtId="3" fontId="15" fillId="0" borderId="3" xfId="0" applyNumberFormat="1" applyFont="1" applyBorder="1" applyProtection="1">
      <protection locked="0"/>
    </xf>
    <xf numFmtId="0" fontId="38" fillId="5" borderId="2" xfId="0" applyFont="1" applyFill="1" applyBorder="1" applyAlignment="1" applyProtection="1">
      <alignment vertical="top" wrapText="1"/>
      <protection locked="0"/>
    </xf>
    <xf numFmtId="0" fontId="39" fillId="5" borderId="2" xfId="0" applyFont="1" applyFill="1" applyBorder="1" applyAlignment="1" applyProtection="1">
      <alignment vertical="center" wrapText="1"/>
      <protection locked="0"/>
    </xf>
    <xf numFmtId="0" fontId="38" fillId="5" borderId="2" xfId="0" applyFont="1" applyFill="1" applyBorder="1" applyAlignment="1" applyProtection="1">
      <alignment vertical="center"/>
      <protection locked="0"/>
    </xf>
    <xf numFmtId="0" fontId="40" fillId="0" borderId="0" xfId="0" applyFont="1" applyAlignment="1" applyProtection="1">
      <alignment vertical="top"/>
      <protection locked="0"/>
    </xf>
    <xf numFmtId="0" fontId="40" fillId="0" borderId="0" xfId="0" applyFont="1" applyAlignment="1" applyProtection="1">
      <alignment vertical="center"/>
      <protection locked="0"/>
    </xf>
    <xf numFmtId="0" fontId="38" fillId="5" borderId="2" xfId="0" applyFont="1" applyFill="1" applyBorder="1" applyAlignment="1" applyProtection="1">
      <alignment vertical="top"/>
      <protection locked="0"/>
    </xf>
    <xf numFmtId="0" fontId="39" fillId="0" borderId="0" xfId="0" applyFont="1" applyAlignment="1" applyProtection="1">
      <alignment vertical="top"/>
      <protection locked="0"/>
    </xf>
    <xf numFmtId="0" fontId="39" fillId="0" borderId="0" xfId="0" applyFont="1" applyAlignment="1" applyProtection="1">
      <alignment vertical="center"/>
      <protection locked="0"/>
    </xf>
    <xf numFmtId="0" fontId="39" fillId="5" borderId="2" xfId="0" applyFont="1" applyFill="1" applyBorder="1" applyAlignment="1" applyProtection="1">
      <alignment vertical="center"/>
      <protection locked="0"/>
    </xf>
    <xf numFmtId="0" fontId="38" fillId="0" borderId="1" xfId="0" applyFont="1" applyBorder="1" applyAlignment="1" applyProtection="1">
      <alignment vertical="top"/>
      <protection locked="0"/>
    </xf>
    <xf numFmtId="0" fontId="38" fillId="0" borderId="8" xfId="0" applyFont="1" applyBorder="1" applyAlignment="1" applyProtection="1">
      <alignment vertical="top"/>
      <protection locked="0"/>
    </xf>
    <xf numFmtId="3" fontId="38" fillId="0" borderId="1" xfId="0" applyNumberFormat="1" applyFont="1" applyBorder="1" applyAlignment="1" applyProtection="1">
      <alignment vertical="top"/>
      <protection locked="0"/>
    </xf>
    <xf numFmtId="3" fontId="38" fillId="0" borderId="8" xfId="0" applyNumberFormat="1" applyFont="1" applyBorder="1" applyAlignment="1" applyProtection="1">
      <alignment vertical="top"/>
      <protection locked="0"/>
    </xf>
    <xf numFmtId="0" fontId="41" fillId="0" borderId="51" xfId="0" applyFont="1" applyBorder="1" applyAlignment="1" applyProtection="1">
      <alignment vertical="top"/>
      <protection locked="0"/>
    </xf>
    <xf numFmtId="0" fontId="39" fillId="0" borderId="51" xfId="0" applyFont="1" applyBorder="1" applyAlignment="1" applyProtection="1">
      <alignment vertical="top"/>
      <protection locked="0"/>
    </xf>
    <xf numFmtId="9" fontId="39" fillId="0" borderId="2" xfId="1" applyFont="1" applyBorder="1" applyAlignment="1" applyProtection="1">
      <alignment vertical="top"/>
      <protection locked="0"/>
    </xf>
    <xf numFmtId="0" fontId="38" fillId="0" borderId="2" xfId="0" applyFont="1" applyBorder="1" applyAlignment="1" applyProtection="1">
      <alignment vertical="top"/>
      <protection locked="0"/>
    </xf>
    <xf numFmtId="0" fontId="38" fillId="0" borderId="9" xfId="0" applyFont="1" applyBorder="1" applyAlignment="1" applyProtection="1">
      <alignment vertical="top"/>
      <protection locked="0"/>
    </xf>
    <xf numFmtId="3" fontId="38" fillId="0" borderId="2" xfId="0" applyNumberFormat="1" applyFont="1" applyBorder="1" applyAlignment="1" applyProtection="1">
      <alignment vertical="top"/>
      <protection locked="0"/>
    </xf>
    <xf numFmtId="3" fontId="38" fillId="0" borderId="9" xfId="0" applyNumberFormat="1" applyFont="1" applyBorder="1" applyAlignment="1" applyProtection="1">
      <alignment vertical="top"/>
      <protection locked="0"/>
    </xf>
    <xf numFmtId="0" fontId="42" fillId="2" borderId="2" xfId="0" applyFont="1" applyFill="1" applyBorder="1" applyAlignment="1" applyProtection="1">
      <alignment horizontal="right" vertical="top"/>
      <protection locked="0"/>
    </xf>
    <xf numFmtId="0" fontId="42" fillId="2" borderId="9" xfId="0" applyFont="1" applyFill="1" applyBorder="1" applyAlignment="1" applyProtection="1">
      <alignment horizontal="right" vertical="top"/>
      <protection locked="0"/>
    </xf>
    <xf numFmtId="3" fontId="42" fillId="2" borderId="2" xfId="0" applyNumberFormat="1" applyFont="1" applyFill="1" applyBorder="1" applyAlignment="1" applyProtection="1">
      <alignment vertical="top"/>
      <protection locked="0"/>
    </xf>
    <xf numFmtId="3" fontId="42" fillId="2" borderId="9" xfId="0" applyNumberFormat="1" applyFont="1" applyFill="1" applyBorder="1" applyAlignment="1" applyProtection="1">
      <alignment vertical="top"/>
      <protection locked="0"/>
    </xf>
    <xf numFmtId="0" fontId="41" fillId="0" borderId="60" xfId="0" applyFont="1" applyBorder="1" applyAlignment="1" applyProtection="1">
      <alignment vertical="top"/>
      <protection locked="0"/>
    </xf>
    <xf numFmtId="0" fontId="39" fillId="0" borderId="60" xfId="0" applyFont="1" applyBorder="1" applyAlignment="1" applyProtection="1">
      <alignment vertical="top"/>
      <protection locked="0"/>
    </xf>
    <xf numFmtId="0" fontId="42" fillId="2" borderId="4" xfId="0" applyFont="1" applyFill="1" applyBorder="1" applyAlignment="1" applyProtection="1">
      <alignment horizontal="right" vertical="top"/>
      <protection locked="0"/>
    </xf>
    <xf numFmtId="0" fontId="42" fillId="2" borderId="10" xfId="0" applyFont="1" applyFill="1" applyBorder="1" applyAlignment="1" applyProtection="1">
      <alignment horizontal="right" vertical="top"/>
      <protection locked="0"/>
    </xf>
    <xf numFmtId="3" fontId="44" fillId="2" borderId="4" xfId="0" applyNumberFormat="1" applyFont="1" applyFill="1" applyBorder="1" applyAlignment="1" applyProtection="1">
      <alignment vertical="top"/>
      <protection locked="0"/>
    </xf>
    <xf numFmtId="3" fontId="44" fillId="2" borderId="10" xfId="0" applyNumberFormat="1" applyFont="1" applyFill="1" applyBorder="1" applyAlignment="1" applyProtection="1">
      <alignment vertical="top"/>
      <protection locked="0"/>
    </xf>
    <xf numFmtId="0" fontId="42" fillId="2" borderId="3" xfId="0" applyFont="1" applyFill="1" applyBorder="1" applyAlignment="1" applyProtection="1">
      <alignment horizontal="right" vertical="top"/>
      <protection locked="0"/>
    </xf>
    <xf numFmtId="0" fontId="40" fillId="2" borderId="28" xfId="0" applyFont="1" applyFill="1" applyBorder="1" applyAlignment="1" applyProtection="1">
      <alignment vertical="top"/>
      <protection locked="0"/>
    </xf>
    <xf numFmtId="3" fontId="44" fillId="2" borderId="3" xfId="0" applyNumberFormat="1" applyFont="1" applyFill="1" applyBorder="1" applyAlignment="1" applyProtection="1">
      <alignment vertical="top"/>
      <protection locked="0"/>
    </xf>
    <xf numFmtId="3" fontId="44" fillId="2" borderId="28" xfId="0" applyNumberFormat="1" applyFont="1" applyFill="1" applyBorder="1" applyAlignment="1" applyProtection="1">
      <alignment vertical="top"/>
      <protection locked="0"/>
    </xf>
    <xf numFmtId="0" fontId="40" fillId="0" borderId="0" xfId="0" applyFont="1" applyProtection="1">
      <protection locked="0"/>
    </xf>
    <xf numFmtId="0" fontId="18" fillId="0" borderId="81" xfId="0" applyFont="1" applyBorder="1" applyAlignment="1" applyProtection="1">
      <alignment vertical="top" wrapText="1"/>
      <protection locked="0"/>
    </xf>
    <xf numFmtId="0" fontId="18" fillId="0" borderId="90" xfId="0" applyFont="1" applyBorder="1" applyAlignment="1" applyProtection="1">
      <alignment vertical="top" wrapText="1"/>
      <protection locked="0"/>
    </xf>
    <xf numFmtId="3" fontId="19" fillId="3" borderId="46" xfId="0" applyNumberFormat="1" applyFont="1" applyFill="1" applyBorder="1" applyAlignment="1" applyProtection="1">
      <alignment vertical="top" wrapText="1"/>
      <protection locked="0"/>
    </xf>
    <xf numFmtId="3" fontId="19" fillId="3" borderId="44" xfId="0" applyNumberFormat="1" applyFont="1" applyFill="1" applyBorder="1" applyAlignment="1" applyProtection="1">
      <alignment vertical="top" wrapText="1"/>
      <protection locked="0"/>
    </xf>
    <xf numFmtId="3" fontId="19" fillId="3" borderId="64" xfId="0" applyNumberFormat="1" applyFont="1" applyFill="1" applyBorder="1" applyAlignment="1" applyProtection="1">
      <alignment vertical="top" wrapText="1"/>
      <protection locked="0"/>
    </xf>
    <xf numFmtId="0" fontId="19" fillId="0" borderId="82" xfId="0" applyFont="1" applyBorder="1" applyAlignment="1" applyProtection="1">
      <alignment vertical="top" wrapText="1"/>
      <protection locked="0"/>
    </xf>
    <xf numFmtId="164" fontId="19" fillId="3" borderId="57" xfId="1" applyNumberFormat="1" applyFont="1" applyFill="1" applyBorder="1" applyAlignment="1" applyProtection="1">
      <alignment vertical="top" wrapText="1"/>
      <protection locked="0"/>
    </xf>
    <xf numFmtId="164" fontId="19" fillId="3" borderId="89" xfId="1" applyNumberFormat="1" applyFont="1" applyFill="1" applyBorder="1" applyAlignment="1" applyProtection="1">
      <alignment vertical="top" wrapText="1"/>
      <protection locked="0"/>
    </xf>
    <xf numFmtId="164" fontId="19" fillId="3" borderId="83" xfId="1" applyNumberFormat="1" applyFont="1" applyFill="1" applyBorder="1" applyAlignment="1" applyProtection="1">
      <alignment vertical="top" wrapText="1"/>
      <protection locked="0"/>
    </xf>
    <xf numFmtId="0" fontId="19" fillId="4" borderId="40" xfId="0" applyFont="1" applyFill="1" applyBorder="1" applyAlignment="1" applyProtection="1">
      <alignment vertical="center" wrapText="1"/>
      <protection locked="0"/>
    </xf>
    <xf numFmtId="0" fontId="18" fillId="0" borderId="45" xfId="0" applyFont="1" applyBorder="1" applyAlignment="1" applyProtection="1">
      <alignment vertical="top" wrapText="1"/>
      <protection locked="0"/>
    </xf>
    <xf numFmtId="10" fontId="19" fillId="11" borderId="18" xfId="1" applyNumberFormat="1" applyFont="1" applyFill="1" applyBorder="1" applyAlignment="1" applyProtection="1">
      <alignment vertical="top" wrapText="1"/>
    </xf>
    <xf numFmtId="164" fontId="18" fillId="11" borderId="18" xfId="1" applyNumberFormat="1" applyFont="1" applyFill="1" applyBorder="1" applyAlignment="1" applyProtection="1">
      <alignment vertical="top" wrapText="1"/>
    </xf>
    <xf numFmtId="164" fontId="19" fillId="11" borderId="18" xfId="1" applyNumberFormat="1" applyFont="1" applyFill="1" applyBorder="1" applyAlignment="1" applyProtection="1">
      <alignment horizontal="right" vertical="top"/>
      <protection locked="0"/>
    </xf>
    <xf numFmtId="3" fontId="18" fillId="11" borderId="32" xfId="0" applyNumberFormat="1" applyFont="1" applyFill="1" applyBorder="1" applyAlignment="1" applyProtection="1">
      <alignment vertical="top" wrapText="1"/>
      <protection locked="0"/>
    </xf>
    <xf numFmtId="0" fontId="18" fillId="0" borderId="19" xfId="0" applyFont="1" applyBorder="1" applyAlignment="1" applyProtection="1">
      <alignment vertical="top" wrapText="1"/>
      <protection locked="0"/>
    </xf>
    <xf numFmtId="0" fontId="18" fillId="0" borderId="45" xfId="0" applyFont="1" applyBorder="1" applyAlignment="1" applyProtection="1">
      <alignment horizontal="left" vertical="top" textRotation="90" wrapText="1"/>
      <protection locked="0"/>
    </xf>
    <xf numFmtId="0" fontId="19" fillId="0" borderId="58" xfId="0" applyFont="1" applyBorder="1" applyAlignment="1" applyProtection="1">
      <alignment vertical="top"/>
      <protection locked="0"/>
    </xf>
    <xf numFmtId="9" fontId="19" fillId="3" borderId="20" xfId="1" applyFont="1" applyFill="1" applyBorder="1" applyAlignment="1" applyProtection="1">
      <alignment vertical="top"/>
      <protection locked="0"/>
    </xf>
    <xf numFmtId="9" fontId="19" fillId="3" borderId="36" xfId="1" applyFont="1" applyFill="1" applyBorder="1" applyAlignment="1" applyProtection="1">
      <alignment vertical="top"/>
      <protection locked="0"/>
    </xf>
    <xf numFmtId="3" fontId="18" fillId="11" borderId="32" xfId="0" applyNumberFormat="1" applyFont="1" applyFill="1" applyBorder="1" applyAlignment="1" applyProtection="1">
      <alignment vertical="top"/>
      <protection locked="0"/>
    </xf>
    <xf numFmtId="164" fontId="19" fillId="11" borderId="14" xfId="1" applyNumberFormat="1" applyFont="1" applyFill="1" applyBorder="1" applyAlignment="1" applyProtection="1">
      <alignment vertical="top" wrapText="1"/>
    </xf>
    <xf numFmtId="0" fontId="19" fillId="0" borderId="57" xfId="0" applyFont="1" applyBorder="1" applyAlignment="1" applyProtection="1">
      <alignment vertical="top" wrapText="1"/>
      <protection locked="0"/>
    </xf>
    <xf numFmtId="0" fontId="19" fillId="0" borderId="89" xfId="0" applyFont="1" applyBorder="1" applyAlignment="1" applyProtection="1">
      <alignment vertical="top" wrapText="1"/>
      <protection locked="0"/>
    </xf>
    <xf numFmtId="0" fontId="18" fillId="0" borderId="38" xfId="0" applyFont="1" applyBorder="1" applyAlignment="1" applyProtection="1">
      <alignment vertical="top" wrapText="1"/>
      <protection locked="0"/>
    </xf>
    <xf numFmtId="3" fontId="18" fillId="3" borderId="51" xfId="0" applyNumberFormat="1" applyFont="1" applyFill="1" applyBorder="1" applyAlignment="1" applyProtection="1">
      <alignment vertical="top"/>
      <protection locked="0"/>
    </xf>
    <xf numFmtId="9" fontId="18" fillId="0" borderId="58" xfId="1" applyFont="1" applyFill="1" applyBorder="1" applyAlignment="1" applyProtection="1">
      <alignment vertical="top" wrapText="1"/>
    </xf>
    <xf numFmtId="0" fontId="26" fillId="0" borderId="63" xfId="0" applyFont="1" applyBorder="1" applyAlignment="1">
      <alignment vertical="top"/>
    </xf>
    <xf numFmtId="0" fontId="16" fillId="0" borderId="4" xfId="0" applyFont="1" applyBorder="1" applyAlignment="1">
      <alignment vertical="top"/>
    </xf>
    <xf numFmtId="0" fontId="16" fillId="0" borderId="91" xfId="0" applyFont="1" applyBorder="1" applyAlignment="1">
      <alignment vertical="top"/>
    </xf>
    <xf numFmtId="0" fontId="26" fillId="0" borderId="4" xfId="0" applyFont="1" applyBorder="1" applyAlignment="1">
      <alignment vertical="top"/>
    </xf>
    <xf numFmtId="0" fontId="16" fillId="0" borderId="10" xfId="0" applyFont="1" applyBorder="1" applyAlignment="1">
      <alignment vertical="top"/>
    </xf>
    <xf numFmtId="0" fontId="15" fillId="0" borderId="47" xfId="0" applyFont="1" applyBorder="1" applyAlignment="1">
      <alignment vertical="top"/>
    </xf>
    <xf numFmtId="0" fontId="15" fillId="0" borderId="92" xfId="0" applyFont="1" applyBorder="1" applyAlignment="1">
      <alignment vertical="top"/>
    </xf>
    <xf numFmtId="0" fontId="45" fillId="0" borderId="0" xfId="0" applyFont="1" applyAlignment="1">
      <alignment horizontal="left" vertical="top"/>
    </xf>
    <xf numFmtId="0" fontId="16" fillId="0" borderId="47" xfId="0" applyFont="1" applyBorder="1" applyAlignment="1">
      <alignment vertical="top"/>
    </xf>
    <xf numFmtId="0" fontId="36" fillId="3" borderId="93" xfId="4" applyFont="1" applyFill="1" applyBorder="1" applyAlignment="1" applyProtection="1">
      <alignment vertical="top" wrapText="1"/>
      <protection locked="0"/>
    </xf>
    <xf numFmtId="0" fontId="16" fillId="0" borderId="1" xfId="0" applyFont="1" applyBorder="1" applyAlignment="1">
      <alignment vertical="top"/>
    </xf>
    <xf numFmtId="3" fontId="42" fillId="2" borderId="7" xfId="0" applyNumberFormat="1" applyFont="1" applyFill="1" applyBorder="1" applyAlignment="1" applyProtection="1">
      <alignment vertical="top"/>
      <protection locked="0"/>
    </xf>
    <xf numFmtId="3" fontId="15" fillId="0" borderId="7" xfId="0" applyNumberFormat="1" applyFont="1" applyBorder="1" applyAlignment="1" applyProtection="1">
      <alignment vertical="top"/>
      <protection locked="0"/>
    </xf>
    <xf numFmtId="3" fontId="44" fillId="2" borderId="7" xfId="0" applyNumberFormat="1" applyFont="1" applyFill="1" applyBorder="1" applyAlignment="1" applyProtection="1">
      <alignment vertical="top"/>
      <protection locked="0"/>
    </xf>
    <xf numFmtId="3" fontId="15" fillId="0" borderId="9" xfId="0" applyNumberFormat="1" applyFont="1" applyBorder="1" applyAlignment="1" applyProtection="1">
      <alignment vertical="top" wrapText="1"/>
      <protection locked="0"/>
    </xf>
    <xf numFmtId="3" fontId="15" fillId="0" borderId="9" xfId="0" applyNumberFormat="1" applyFont="1" applyBorder="1" applyAlignment="1" applyProtection="1">
      <alignment vertical="center"/>
      <protection locked="0"/>
    </xf>
    <xf numFmtId="3" fontId="15" fillId="0" borderId="9" xfId="0" applyNumberFormat="1" applyFont="1" applyBorder="1" applyAlignment="1" applyProtection="1">
      <alignment vertical="center" wrapText="1"/>
      <protection locked="0"/>
    </xf>
    <xf numFmtId="0" fontId="16" fillId="5" borderId="2" xfId="0" applyFont="1" applyFill="1" applyBorder="1" applyAlignment="1" applyProtection="1">
      <alignment vertical="center" wrapText="1"/>
      <protection locked="0"/>
    </xf>
    <xf numFmtId="0" fontId="15" fillId="5" borderId="2" xfId="0" applyFont="1" applyFill="1" applyBorder="1" applyAlignment="1" applyProtection="1">
      <alignment vertical="center"/>
      <protection locked="0"/>
    </xf>
    <xf numFmtId="0" fontId="36" fillId="4" borderId="51" xfId="4" applyFont="1" applyFill="1" applyBorder="1" applyAlignment="1" applyProtection="1">
      <alignment vertical="top" wrapText="1"/>
      <protection locked="0"/>
    </xf>
    <xf numFmtId="0" fontId="46" fillId="0" borderId="0" xfId="4" applyFont="1" applyProtection="1">
      <protection locked="0"/>
    </xf>
    <xf numFmtId="9" fontId="19" fillId="0" borderId="36" xfId="1" applyFont="1" applyFill="1" applyBorder="1" applyAlignment="1" applyProtection="1">
      <alignment vertical="top" wrapText="1"/>
      <protection locked="0"/>
    </xf>
    <xf numFmtId="3" fontId="19" fillId="3" borderId="65" xfId="0" applyNumberFormat="1" applyFont="1" applyFill="1" applyBorder="1" applyAlignment="1" applyProtection="1">
      <alignment vertical="top" wrapText="1"/>
      <protection locked="0"/>
    </xf>
    <xf numFmtId="0" fontId="15" fillId="0" borderId="40" xfId="0" applyFont="1" applyBorder="1" applyAlignment="1" applyProtection="1">
      <alignment vertical="top" wrapText="1"/>
      <protection locked="0"/>
    </xf>
    <xf numFmtId="0" fontId="19" fillId="4" borderId="40" xfId="0" applyFont="1" applyFill="1" applyBorder="1" applyProtection="1">
      <protection locked="0"/>
    </xf>
    <xf numFmtId="3" fontId="19" fillId="0" borderId="71" xfId="0" applyNumberFormat="1" applyFont="1" applyBorder="1" applyAlignment="1" applyProtection="1">
      <alignment vertical="top" wrapText="1"/>
      <protection locked="0"/>
    </xf>
    <xf numFmtId="3" fontId="18" fillId="0" borderId="70" xfId="0" applyNumberFormat="1" applyFont="1" applyBorder="1" applyAlignment="1" applyProtection="1">
      <alignment vertical="top"/>
      <protection locked="0"/>
    </xf>
    <xf numFmtId="3" fontId="19" fillId="0" borderId="70" xfId="0" applyNumberFormat="1" applyFont="1" applyBorder="1" applyProtection="1">
      <protection locked="0"/>
    </xf>
    <xf numFmtId="164" fontId="19" fillId="0" borderId="70" xfId="1" applyNumberFormat="1" applyFont="1" applyFill="1" applyBorder="1" applyProtection="1">
      <protection locked="0"/>
    </xf>
    <xf numFmtId="3" fontId="18" fillId="0" borderId="71" xfId="0" applyNumberFormat="1" applyFont="1" applyBorder="1" applyProtection="1">
      <protection locked="0"/>
    </xf>
    <xf numFmtId="3" fontId="19" fillId="0" borderId="1" xfId="0" applyNumberFormat="1" applyFont="1" applyBorder="1" applyAlignment="1" applyProtection="1">
      <alignment vertical="top" wrapText="1"/>
      <protection locked="0"/>
    </xf>
    <xf numFmtId="0" fontId="48" fillId="0" borderId="0" xfId="0" applyFont="1" applyAlignment="1" applyProtection="1">
      <alignment horizontal="left" vertical="top" wrapText="1"/>
      <protection locked="0"/>
    </xf>
    <xf numFmtId="3" fontId="18" fillId="0" borderId="0" xfId="0" applyNumberFormat="1" applyFont="1" applyAlignment="1" applyProtection="1">
      <alignment horizontal="left" vertical="center"/>
      <protection locked="0"/>
    </xf>
    <xf numFmtId="3" fontId="18" fillId="0" borderId="3" xfId="0" applyNumberFormat="1" applyFont="1" applyBorder="1" applyAlignment="1" applyProtection="1">
      <alignment horizontal="left" vertical="center"/>
      <protection locked="0"/>
    </xf>
    <xf numFmtId="3" fontId="19" fillId="0" borderId="18" xfId="0" applyNumberFormat="1" applyFont="1" applyBorder="1" applyAlignment="1" applyProtection="1">
      <alignment horizontal="right" vertical="center" wrapText="1"/>
      <protection locked="0"/>
    </xf>
    <xf numFmtId="0" fontId="19" fillId="0" borderId="4" xfId="0" applyFont="1" applyBorder="1" applyAlignment="1" applyProtection="1">
      <alignment horizontal="left" vertical="center"/>
      <protection locked="0"/>
    </xf>
    <xf numFmtId="0" fontId="19" fillId="0" borderId="4" xfId="0" applyFont="1" applyBorder="1" applyAlignment="1" applyProtection="1">
      <alignment horizontal="left" vertical="center" indent="1"/>
      <protection locked="0"/>
    </xf>
    <xf numFmtId="3" fontId="19" fillId="0" borderId="24" xfId="0" applyNumberFormat="1" applyFont="1" applyBorder="1" applyProtection="1">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indent="1"/>
      <protection locked="0"/>
    </xf>
    <xf numFmtId="0" fontId="15" fillId="2" borderId="87" xfId="4" applyFont="1" applyFill="1" applyBorder="1" applyAlignment="1" applyProtection="1">
      <alignment horizontal="center" vertical="center" wrapText="1"/>
      <protection locked="0"/>
    </xf>
    <xf numFmtId="3" fontId="19" fillId="3" borderId="0" xfId="0" applyNumberFormat="1" applyFont="1" applyFill="1" applyAlignment="1" applyProtection="1">
      <alignment vertical="top" wrapText="1"/>
      <protection locked="0"/>
    </xf>
    <xf numFmtId="0" fontId="19" fillId="0" borderId="39" xfId="0" applyFont="1" applyBorder="1" applyAlignment="1" applyProtection="1">
      <alignment vertical="top"/>
      <protection locked="0"/>
    </xf>
    <xf numFmtId="164" fontId="19" fillId="3" borderId="50" xfId="1" applyNumberFormat="1" applyFont="1" applyFill="1" applyBorder="1" applyProtection="1">
      <protection locked="0"/>
    </xf>
    <xf numFmtId="164" fontId="19" fillId="3" borderId="60" xfId="1" applyNumberFormat="1" applyFont="1" applyFill="1" applyBorder="1" applyProtection="1">
      <protection locked="0"/>
    </xf>
    <xf numFmtId="164" fontId="19" fillId="3" borderId="68" xfId="1" applyNumberFormat="1" applyFont="1" applyFill="1" applyBorder="1" applyProtection="1">
      <protection locked="0"/>
    </xf>
    <xf numFmtId="3" fontId="18" fillId="0" borderId="23" xfId="0" applyNumberFormat="1" applyFont="1" applyBorder="1" applyAlignment="1" applyProtection="1">
      <alignment horizontal="right" vertical="center"/>
      <protection locked="0"/>
    </xf>
    <xf numFmtId="3" fontId="18" fillId="0" borderId="28" xfId="0" applyNumberFormat="1" applyFont="1" applyBorder="1" applyAlignment="1" applyProtection="1">
      <alignment horizontal="right" vertical="center"/>
      <protection locked="0"/>
    </xf>
    <xf numFmtId="3" fontId="18" fillId="0" borderId="7" xfId="0" applyNumberFormat="1" applyFont="1" applyBorder="1" applyAlignment="1" applyProtection="1">
      <alignment horizontal="right" vertical="center"/>
      <protection locked="0"/>
    </xf>
    <xf numFmtId="3" fontId="18" fillId="0" borderId="67" xfId="0" applyNumberFormat="1" applyFont="1" applyBorder="1" applyAlignment="1" applyProtection="1">
      <alignment horizontal="right" vertical="center"/>
      <protection locked="0"/>
    </xf>
    <xf numFmtId="3" fontId="15" fillId="0" borderId="2" xfId="0" applyNumberFormat="1" applyFont="1" applyBorder="1" applyAlignment="1" applyProtection="1">
      <alignment vertical="top" wrapText="1"/>
      <protection locked="0"/>
    </xf>
    <xf numFmtId="0" fontId="19" fillId="0" borderId="0" xfId="3" applyFont="1" applyFill="1" applyAlignment="1" applyProtection="1">
      <alignment horizontal="left" vertical="center" wrapText="1"/>
      <protection locked="0"/>
    </xf>
    <xf numFmtId="0" fontId="16" fillId="0" borderId="0" xfId="0" applyFont="1" applyAlignment="1" applyProtection="1">
      <alignment wrapText="1"/>
      <protection locked="0"/>
    </xf>
    <xf numFmtId="0" fontId="18" fillId="0" borderId="1" xfId="0" applyFont="1" applyBorder="1" applyAlignment="1" applyProtection="1">
      <alignment vertical="center" wrapText="1"/>
      <protection locked="0"/>
    </xf>
    <xf numFmtId="3" fontId="15" fillId="0" borderId="2" xfId="0" applyNumberFormat="1" applyFont="1" applyBorder="1" applyAlignment="1" applyProtection="1">
      <alignment vertical="center" wrapText="1"/>
      <protection locked="0"/>
    </xf>
    <xf numFmtId="0" fontId="39" fillId="0" borderId="0" xfId="0" applyFont="1" applyAlignment="1" applyProtection="1">
      <alignment vertical="top" wrapText="1"/>
      <protection locked="0"/>
    </xf>
    <xf numFmtId="0" fontId="2" fillId="0" borderId="0" xfId="0" applyFont="1" applyAlignment="1" applyProtection="1">
      <alignment wrapText="1"/>
      <protection locked="0"/>
    </xf>
    <xf numFmtId="0" fontId="36" fillId="0" borderId="51" xfId="4" applyFont="1" applyBorder="1" applyAlignment="1" applyProtection="1">
      <alignment vertical="top" wrapText="1"/>
      <protection locked="0"/>
    </xf>
    <xf numFmtId="0" fontId="36" fillId="0" borderId="60" xfId="4" applyFont="1" applyBorder="1" applyAlignment="1" applyProtection="1">
      <alignment vertical="top" wrapText="1"/>
      <protection locked="0"/>
    </xf>
    <xf numFmtId="165" fontId="19" fillId="3" borderId="7" xfId="0" applyNumberFormat="1" applyFont="1" applyFill="1" applyBorder="1" applyAlignment="1" applyProtection="1">
      <alignment vertical="top"/>
      <protection locked="0"/>
    </xf>
    <xf numFmtId="3" fontId="18" fillId="0" borderId="40" xfId="0" applyNumberFormat="1" applyFont="1" applyBorder="1" applyAlignment="1" applyProtection="1">
      <alignment horizontal="left" vertical="center"/>
      <protection locked="0"/>
    </xf>
    <xf numFmtId="3" fontId="18" fillId="0" borderId="69" xfId="0" applyNumberFormat="1" applyFont="1" applyBorder="1" applyAlignment="1" applyProtection="1">
      <alignment horizontal="right" vertical="center"/>
      <protection locked="0"/>
    </xf>
    <xf numFmtId="3" fontId="19" fillId="0" borderId="36" xfId="0" applyNumberFormat="1" applyFont="1" applyBorder="1" applyAlignment="1" applyProtection="1">
      <alignment horizontal="right" vertical="center" wrapText="1"/>
      <protection locked="0"/>
    </xf>
    <xf numFmtId="3" fontId="17" fillId="0" borderId="7" xfId="0" applyNumberFormat="1" applyFont="1" applyBorder="1" applyAlignment="1" applyProtection="1">
      <alignment horizontal="left" vertical="center"/>
      <protection locked="0"/>
    </xf>
    <xf numFmtId="3" fontId="19" fillId="0" borderId="0" xfId="0" applyNumberFormat="1" applyFont="1" applyAlignment="1" applyProtection="1">
      <alignment horizontal="right" vertical="center" wrapText="1"/>
      <protection locked="0"/>
    </xf>
    <xf numFmtId="4" fontId="36" fillId="3" borderId="95" xfId="4" applyNumberFormat="1" applyFont="1" applyFill="1" applyBorder="1" applyAlignment="1" applyProtection="1">
      <alignment vertical="top" wrapText="1"/>
      <protection locked="0"/>
    </xf>
    <xf numFmtId="3" fontId="36" fillId="3" borderId="95" xfId="4" applyNumberFormat="1" applyFont="1" applyFill="1" applyBorder="1" applyAlignment="1" applyProtection="1">
      <alignment vertical="top" wrapText="1"/>
      <protection locked="0"/>
    </xf>
    <xf numFmtId="14" fontId="36" fillId="3" borderId="9" xfId="4" applyNumberFormat="1" applyFont="1" applyFill="1" applyBorder="1" applyAlignment="1" applyProtection="1">
      <alignment vertical="top" wrapText="1"/>
      <protection locked="0"/>
    </xf>
    <xf numFmtId="0" fontId="36" fillId="3" borderId="96" xfId="4" applyFont="1" applyFill="1" applyBorder="1" applyAlignment="1" applyProtection="1">
      <alignment vertical="top" wrapText="1"/>
      <protection locked="0"/>
    </xf>
    <xf numFmtId="0" fontId="36" fillId="3" borderId="97" xfId="4" applyFont="1" applyFill="1" applyBorder="1" applyAlignment="1" applyProtection="1">
      <alignment vertical="top" wrapText="1"/>
      <protection locked="0"/>
    </xf>
    <xf numFmtId="3" fontId="18" fillId="0" borderId="17" xfId="0" applyNumberFormat="1" applyFont="1" applyBorder="1" applyAlignment="1" applyProtection="1">
      <alignment vertical="top" wrapText="1"/>
      <protection locked="0"/>
    </xf>
    <xf numFmtId="3" fontId="18" fillId="0" borderId="73" xfId="0" applyNumberFormat="1" applyFont="1" applyBorder="1" applyAlignment="1" applyProtection="1">
      <alignment vertical="top" wrapText="1"/>
      <protection locked="0"/>
    </xf>
    <xf numFmtId="3" fontId="18" fillId="0" borderId="61" xfId="0" applyNumberFormat="1" applyFont="1" applyBorder="1" applyAlignment="1" applyProtection="1">
      <alignment vertical="top" wrapText="1"/>
      <protection locked="0"/>
    </xf>
    <xf numFmtId="3" fontId="18" fillId="0" borderId="68" xfId="0" applyNumberFormat="1" applyFont="1" applyBorder="1" applyAlignment="1" applyProtection="1">
      <alignment vertical="top" wrapText="1"/>
      <protection locked="0"/>
    </xf>
    <xf numFmtId="3" fontId="18" fillId="11" borderId="28" xfId="0" applyNumberFormat="1" applyFont="1" applyFill="1" applyBorder="1" applyAlignment="1" applyProtection="1">
      <alignment vertical="top" wrapText="1"/>
      <protection locked="0"/>
    </xf>
    <xf numFmtId="9" fontId="18" fillId="11" borderId="59" xfId="1" applyFont="1" applyFill="1" applyBorder="1" applyAlignment="1" applyProtection="1">
      <alignment vertical="top"/>
      <protection locked="0"/>
    </xf>
    <xf numFmtId="3" fontId="18" fillId="0" borderId="38" xfId="0" applyNumberFormat="1" applyFont="1" applyBorder="1" applyAlignment="1" applyProtection="1">
      <alignment vertical="center" wrapText="1"/>
      <protection locked="0"/>
    </xf>
    <xf numFmtId="3" fontId="18" fillId="0" borderId="2" xfId="0" applyNumberFormat="1" applyFont="1" applyBorder="1" applyAlignment="1" applyProtection="1">
      <alignment vertical="center" wrapText="1"/>
      <protection locked="0"/>
    </xf>
    <xf numFmtId="0" fontId="16" fillId="0" borderId="0" xfId="0" applyFont="1" applyAlignment="1" applyProtection="1">
      <alignment horizontal="left" vertical="top" wrapText="1"/>
      <protection locked="0"/>
    </xf>
    <xf numFmtId="9" fontId="17" fillId="0" borderId="0" xfId="1" applyFont="1" applyBorder="1" applyAlignment="1" applyProtection="1">
      <alignment horizontal="right"/>
      <protection locked="0"/>
    </xf>
    <xf numFmtId="0" fontId="18" fillId="0" borderId="2" xfId="0" applyFont="1" applyBorder="1" applyAlignment="1" applyProtection="1">
      <alignment horizontal="right" vertical="center" wrapText="1"/>
      <protection locked="0"/>
    </xf>
    <xf numFmtId="3" fontId="9" fillId="0" borderId="50" xfId="0" applyNumberFormat="1" applyFont="1" applyBorder="1" applyProtection="1">
      <protection locked="0"/>
    </xf>
    <xf numFmtId="0" fontId="18" fillId="0" borderId="38" xfId="0" applyFont="1" applyBorder="1" applyAlignment="1" applyProtection="1">
      <alignment horizontal="right" vertical="center" wrapText="1"/>
      <protection locked="0"/>
    </xf>
    <xf numFmtId="3" fontId="19" fillId="3" borderId="98" xfId="0" applyNumberFormat="1" applyFont="1" applyFill="1" applyBorder="1" applyAlignment="1" applyProtection="1">
      <alignment vertical="top" wrapText="1"/>
      <protection locked="0"/>
    </xf>
    <xf numFmtId="3" fontId="19" fillId="3" borderId="81" xfId="0" applyNumberFormat="1" applyFont="1" applyFill="1" applyBorder="1" applyAlignment="1" applyProtection="1">
      <alignment vertical="top" wrapText="1"/>
      <protection locked="0"/>
    </xf>
    <xf numFmtId="3" fontId="19" fillId="3" borderId="39" xfId="0" applyNumberFormat="1" applyFont="1" applyFill="1" applyBorder="1" applyAlignment="1" applyProtection="1">
      <alignment vertical="top" wrapText="1"/>
      <protection locked="0"/>
    </xf>
    <xf numFmtId="3" fontId="3" fillId="2" borderId="51" xfId="0" applyNumberFormat="1" applyFont="1" applyFill="1" applyBorder="1" applyProtection="1">
      <protection locked="0"/>
    </xf>
    <xf numFmtId="0" fontId="19" fillId="0" borderId="34" xfId="0" applyFont="1" applyBorder="1" applyProtection="1">
      <protection locked="0"/>
    </xf>
    <xf numFmtId="3" fontId="19" fillId="0" borderId="60" xfId="0" applyNumberFormat="1" applyFont="1" applyBorder="1" applyAlignment="1" applyProtection="1">
      <alignment vertical="top" wrapText="1"/>
      <protection locked="0"/>
    </xf>
    <xf numFmtId="3" fontId="19" fillId="0" borderId="60" xfId="1" applyNumberFormat="1" applyFont="1" applyFill="1" applyBorder="1" applyProtection="1">
      <protection locked="0"/>
    </xf>
    <xf numFmtId="3" fontId="19" fillId="0" borderId="68" xfId="1" applyNumberFormat="1" applyFont="1" applyFill="1" applyBorder="1" applyProtection="1">
      <protection locked="0"/>
    </xf>
    <xf numFmtId="3" fontId="19" fillId="0" borderId="68" xfId="0" applyNumberFormat="1" applyFont="1" applyBorder="1" applyAlignment="1" applyProtection="1">
      <alignment vertical="top" wrapText="1"/>
      <protection locked="0"/>
    </xf>
    <xf numFmtId="0" fontId="18" fillId="0" borderId="0" xfId="0" quotePrefix="1" applyFont="1" applyAlignment="1" applyProtection="1">
      <alignment horizontal="left" vertical="top" wrapText="1"/>
      <protection locked="0"/>
    </xf>
    <xf numFmtId="3" fontId="18" fillId="0" borderId="51" xfId="0" applyNumberFormat="1" applyFont="1" applyBorder="1" applyAlignment="1" applyProtection="1">
      <alignment horizontal="left" vertical="center" wrapText="1"/>
      <protection locked="0"/>
    </xf>
    <xf numFmtId="0" fontId="15" fillId="0" borderId="1" xfId="0" applyFont="1" applyBorder="1" applyAlignment="1" applyProtection="1">
      <alignment horizontal="left"/>
      <protection locked="0"/>
    </xf>
    <xf numFmtId="0" fontId="38" fillId="0" borderId="2" xfId="0" applyFont="1" applyBorder="1" applyAlignment="1" applyProtection="1">
      <alignment vertical="center"/>
      <protection locked="0"/>
    </xf>
    <xf numFmtId="0" fontId="39" fillId="0" borderId="2" xfId="0" applyFont="1" applyBorder="1" applyAlignment="1" applyProtection="1">
      <alignment vertical="center" wrapText="1"/>
      <protection locked="0"/>
    </xf>
    <xf numFmtId="3" fontId="19" fillId="0" borderId="21" xfId="0" applyNumberFormat="1" applyFont="1" applyBorder="1" applyAlignment="1" applyProtection="1">
      <alignment horizontal="right" vertical="center" wrapText="1"/>
      <protection locked="0"/>
    </xf>
    <xf numFmtId="3" fontId="18" fillId="0" borderId="101" xfId="0" applyNumberFormat="1" applyFont="1" applyBorder="1" applyAlignment="1" applyProtection="1">
      <alignment horizontal="left" vertical="center"/>
      <protection locked="0"/>
    </xf>
    <xf numFmtId="0" fontId="19" fillId="0" borderId="6" xfId="0" applyFont="1" applyBorder="1" applyAlignment="1" applyProtection="1">
      <alignment horizontal="right" vertical="center"/>
      <protection locked="0"/>
    </xf>
    <xf numFmtId="0" fontId="19" fillId="0" borderId="0" xfId="0" applyFont="1" applyAlignment="1" applyProtection="1">
      <alignment horizontal="right" vertical="center"/>
      <protection locked="0"/>
    </xf>
    <xf numFmtId="0" fontId="19" fillId="0" borderId="3" xfId="0" applyFont="1" applyBorder="1" applyAlignment="1" applyProtection="1">
      <alignment horizontal="right" vertical="center"/>
      <protection locked="0"/>
    </xf>
    <xf numFmtId="164" fontId="19" fillId="0" borderId="40" xfId="1" applyNumberFormat="1" applyFont="1" applyBorder="1" applyAlignment="1" applyProtection="1">
      <alignment horizontal="right" vertical="center"/>
      <protection locked="0"/>
    </xf>
    <xf numFmtId="3" fontId="18" fillId="0" borderId="0" xfId="0" applyNumberFormat="1" applyFont="1" applyAlignment="1" applyProtection="1">
      <alignment horizontal="right" vertical="center"/>
      <protection locked="0"/>
    </xf>
    <xf numFmtId="0" fontId="38" fillId="5" borderId="2" xfId="0" applyFont="1" applyFill="1" applyBorder="1" applyAlignment="1" applyProtection="1">
      <alignment vertical="center" wrapText="1"/>
      <protection locked="0"/>
    </xf>
    <xf numFmtId="0" fontId="19" fillId="0" borderId="102" xfId="0" applyFont="1" applyBorder="1" applyAlignment="1" applyProtection="1">
      <alignment horizontal="right" vertical="center"/>
      <protection locked="0"/>
    </xf>
    <xf numFmtId="3" fontId="18" fillId="0" borderId="103" xfId="0" applyNumberFormat="1" applyFont="1" applyBorder="1" applyAlignment="1" applyProtection="1">
      <alignment horizontal="right" vertical="center"/>
      <protection locked="0"/>
    </xf>
    <xf numFmtId="10" fontId="19" fillId="3" borderId="50" xfId="1" applyNumberFormat="1" applyFont="1" applyFill="1" applyBorder="1" applyProtection="1">
      <protection locked="0"/>
    </xf>
    <xf numFmtId="10" fontId="19" fillId="3" borderId="60" xfId="1" applyNumberFormat="1" applyFont="1" applyFill="1" applyBorder="1" applyProtection="1">
      <protection locked="0"/>
    </xf>
    <xf numFmtId="10" fontId="19" fillId="3" borderId="68" xfId="1" applyNumberFormat="1" applyFont="1" applyFill="1" applyBorder="1" applyProtection="1">
      <protection locked="0"/>
    </xf>
    <xf numFmtId="164" fontId="19" fillId="3" borderId="6" xfId="1" applyNumberFormat="1" applyFont="1" applyFill="1" applyBorder="1" applyProtection="1">
      <protection locked="0"/>
    </xf>
    <xf numFmtId="164" fontId="19" fillId="3" borderId="40" xfId="1" applyNumberFormat="1" applyFont="1" applyFill="1" applyBorder="1" applyProtection="1">
      <protection locked="0"/>
    </xf>
    <xf numFmtId="3" fontId="19" fillId="0" borderId="29" xfId="0" applyNumberFormat="1" applyFont="1" applyBorder="1" applyProtection="1">
      <protection locked="0"/>
    </xf>
    <xf numFmtId="3" fontId="18" fillId="11" borderId="59" xfId="0" applyNumberFormat="1" applyFont="1" applyFill="1" applyBorder="1" applyAlignment="1" applyProtection="1">
      <alignment vertical="top"/>
      <protection locked="0"/>
    </xf>
    <xf numFmtId="0" fontId="19" fillId="0" borderId="105" xfId="0" applyFont="1" applyBorder="1" applyAlignment="1" applyProtection="1">
      <alignment vertical="top" wrapText="1"/>
      <protection locked="0"/>
    </xf>
    <xf numFmtId="9" fontId="19" fillId="3" borderId="22" xfId="1" applyFont="1" applyFill="1" applyBorder="1" applyAlignment="1" applyProtection="1">
      <alignment vertical="top"/>
      <protection locked="0"/>
    </xf>
    <xf numFmtId="3" fontId="19" fillId="3" borderId="22" xfId="0" applyNumberFormat="1" applyFont="1" applyFill="1" applyBorder="1" applyAlignment="1" applyProtection="1">
      <alignment vertical="top" wrapText="1"/>
      <protection locked="0"/>
    </xf>
    <xf numFmtId="3" fontId="18" fillId="0" borderId="61" xfId="0" applyNumberFormat="1" applyFont="1" applyBorder="1" applyAlignment="1">
      <alignment vertical="top"/>
    </xf>
    <xf numFmtId="10" fontId="19" fillId="0" borderId="22" xfId="1" applyNumberFormat="1" applyFont="1" applyFill="1" applyBorder="1" applyAlignment="1" applyProtection="1">
      <alignment vertical="top" wrapText="1"/>
    </xf>
    <xf numFmtId="3" fontId="18" fillId="3" borderId="22" xfId="1" applyNumberFormat="1" applyFont="1" applyFill="1" applyBorder="1" applyAlignment="1" applyProtection="1">
      <alignment horizontal="right" vertical="top"/>
      <protection locked="0"/>
    </xf>
    <xf numFmtId="3" fontId="18" fillId="3" borderId="36" xfId="1" applyNumberFormat="1" applyFont="1" applyFill="1" applyBorder="1" applyAlignment="1" applyProtection="1">
      <alignment horizontal="right" vertical="top"/>
      <protection locked="0"/>
    </xf>
    <xf numFmtId="164" fontId="19" fillId="0" borderId="22" xfId="1" applyNumberFormat="1" applyFont="1" applyFill="1" applyBorder="1" applyAlignment="1" applyProtection="1">
      <alignment vertical="top" wrapText="1"/>
      <protection locked="0"/>
    </xf>
    <xf numFmtId="3" fontId="18" fillId="0" borderId="42" xfId="0" applyNumberFormat="1" applyFont="1" applyBorder="1" applyAlignment="1" applyProtection="1">
      <alignment vertical="top" wrapText="1"/>
      <protection locked="0"/>
    </xf>
    <xf numFmtId="9" fontId="19" fillId="0" borderId="42" xfId="0" applyNumberFormat="1" applyFont="1" applyBorder="1" applyAlignment="1">
      <alignment horizontal="right" vertical="top"/>
    </xf>
    <xf numFmtId="0" fontId="19" fillId="0" borderId="73" xfId="0" applyFont="1" applyBorder="1" applyAlignment="1" applyProtection="1">
      <alignment vertical="top"/>
      <protection locked="0"/>
    </xf>
    <xf numFmtId="0" fontId="19" fillId="0" borderId="61" xfId="0" applyFont="1" applyBorder="1" applyAlignment="1" applyProtection="1">
      <alignment vertical="top"/>
      <protection locked="0"/>
    </xf>
    <xf numFmtId="0" fontId="19" fillId="0" borderId="74" xfId="0" applyFont="1" applyBorder="1" applyAlignment="1" applyProtection="1">
      <alignment vertical="top"/>
      <protection locked="0"/>
    </xf>
    <xf numFmtId="164" fontId="19" fillId="3" borderId="17" xfId="1" applyNumberFormat="1" applyFont="1" applyFill="1" applyBorder="1" applyAlignment="1" applyProtection="1">
      <alignment horizontal="right" vertical="top"/>
      <protection locked="0"/>
    </xf>
    <xf numFmtId="0" fontId="18" fillId="0" borderId="15" xfId="0" applyFont="1" applyBorder="1" applyAlignment="1" applyProtection="1">
      <alignment vertical="top" wrapText="1"/>
      <protection locked="0"/>
    </xf>
    <xf numFmtId="3" fontId="18" fillId="3" borderId="20" xfId="1" applyNumberFormat="1" applyFont="1" applyFill="1" applyBorder="1" applyAlignment="1" applyProtection="1">
      <alignment horizontal="right" vertical="top"/>
      <protection locked="0"/>
    </xf>
    <xf numFmtId="3" fontId="18" fillId="11" borderId="14" xfId="0" applyNumberFormat="1" applyFont="1" applyFill="1" applyBorder="1" applyAlignment="1" applyProtection="1">
      <alignment vertical="top" wrapText="1"/>
      <protection locked="0"/>
    </xf>
    <xf numFmtId="3" fontId="18" fillId="11" borderId="18" xfId="0" applyNumberFormat="1" applyFont="1" applyFill="1" applyBorder="1" applyAlignment="1" applyProtection="1">
      <alignment vertical="top"/>
      <protection locked="0"/>
    </xf>
    <xf numFmtId="0" fontId="15" fillId="0" borderId="6"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9" fontId="19" fillId="0" borderId="0" xfId="1" applyFont="1" applyBorder="1" applyAlignment="1">
      <alignment horizontal="left" vertical="top"/>
    </xf>
    <xf numFmtId="9" fontId="16" fillId="0" borderId="0" xfId="1" applyFont="1" applyBorder="1" applyAlignment="1">
      <alignment horizontal="left" vertical="top"/>
    </xf>
    <xf numFmtId="0" fontId="16" fillId="0" borderId="0" xfId="0" applyFont="1" applyAlignment="1">
      <alignment horizontal="left" vertical="top" wrapText="1"/>
    </xf>
    <xf numFmtId="0" fontId="16" fillId="0" borderId="51" xfId="0" applyFont="1" applyBorder="1" applyAlignment="1">
      <alignment vertical="top"/>
    </xf>
    <xf numFmtId="0" fontId="15" fillId="0" borderId="51" xfId="0" applyFont="1" applyBorder="1" applyAlignment="1">
      <alignment vertical="top" wrapText="1"/>
    </xf>
    <xf numFmtId="0" fontId="15" fillId="0" borderId="51" xfId="0" applyFont="1" applyBorder="1" applyAlignment="1">
      <alignment vertical="top"/>
    </xf>
    <xf numFmtId="0" fontId="15" fillId="12" borderId="51" xfId="0" applyFont="1" applyFill="1" applyBorder="1" applyAlignment="1">
      <alignment vertical="top" wrapText="1"/>
    </xf>
    <xf numFmtId="9" fontId="19" fillId="0" borderId="51" xfId="1" applyFont="1" applyBorder="1" applyAlignment="1">
      <alignment horizontal="left" vertical="top"/>
    </xf>
    <xf numFmtId="9" fontId="16" fillId="0" borderId="51" xfId="0" applyNumberFormat="1" applyFont="1" applyBorder="1" applyAlignment="1">
      <alignment horizontal="left" vertical="top"/>
    </xf>
    <xf numFmtId="0" fontId="16" fillId="0" borderId="51" xfId="0" applyFont="1" applyBorder="1" applyAlignment="1">
      <alignment horizontal="left" vertical="top"/>
    </xf>
    <xf numFmtId="9" fontId="16" fillId="12" borderId="51" xfId="1" applyFont="1" applyFill="1" applyBorder="1" applyAlignment="1">
      <alignment horizontal="left" vertical="top"/>
    </xf>
    <xf numFmtId="9" fontId="16" fillId="12" borderId="51" xfId="0" applyNumberFormat="1" applyFont="1" applyFill="1" applyBorder="1" applyAlignment="1">
      <alignment horizontal="left" vertical="top"/>
    </xf>
    <xf numFmtId="0" fontId="16" fillId="12" borderId="51" xfId="0" applyFont="1" applyFill="1" applyBorder="1" applyAlignment="1">
      <alignment horizontal="left" vertical="top"/>
    </xf>
    <xf numFmtId="9" fontId="19" fillId="12" borderId="51" xfId="1" applyFont="1" applyFill="1" applyBorder="1" applyAlignment="1">
      <alignment horizontal="left" vertical="top"/>
    </xf>
    <xf numFmtId="9" fontId="16" fillId="0" borderId="51" xfId="1" applyFont="1" applyBorder="1" applyAlignment="1">
      <alignment horizontal="left" vertical="top"/>
    </xf>
    <xf numFmtId="0" fontId="16" fillId="12" borderId="51" xfId="0" applyFont="1" applyFill="1" applyBorder="1" applyAlignment="1">
      <alignment vertical="top" wrapText="1"/>
    </xf>
    <xf numFmtId="0" fontId="17" fillId="0" borderId="51" xfId="0" applyFont="1" applyBorder="1" applyAlignment="1">
      <alignment horizontal="left" vertical="top" wrapText="1"/>
    </xf>
    <xf numFmtId="0" fontId="16" fillId="0" borderId="51" xfId="0" applyFont="1" applyBorder="1" applyAlignment="1">
      <alignment horizontal="left" vertical="top" wrapText="1"/>
    </xf>
    <xf numFmtId="0" fontId="49" fillId="0" borderId="51" xfId="0" applyFont="1" applyBorder="1" applyAlignment="1">
      <alignment horizontal="left" vertical="top" wrapText="1"/>
    </xf>
    <xf numFmtId="9" fontId="16" fillId="9" borderId="51" xfId="1" applyFont="1" applyFill="1" applyBorder="1" applyAlignment="1">
      <alignment horizontal="left" vertical="top"/>
    </xf>
    <xf numFmtId="0" fontId="16" fillId="3" borderId="51" xfId="0" applyFont="1" applyFill="1" applyBorder="1" applyAlignment="1">
      <alignment vertical="top"/>
    </xf>
    <xf numFmtId="0" fontId="16" fillId="6" borderId="51" xfId="0" applyFont="1" applyFill="1" applyBorder="1" applyAlignment="1">
      <alignment horizontal="left" vertical="top"/>
    </xf>
    <xf numFmtId="3" fontId="19" fillId="0" borderId="44" xfId="0" applyNumberFormat="1" applyFont="1" applyBorder="1" applyAlignment="1" applyProtection="1">
      <alignment vertical="top" wrapText="1"/>
      <protection locked="0"/>
    </xf>
    <xf numFmtId="0" fontId="19" fillId="11" borderId="106" xfId="0" applyFont="1" applyFill="1" applyBorder="1" applyAlignment="1" applyProtection="1">
      <alignment vertical="top" wrapText="1"/>
      <protection locked="0"/>
    </xf>
    <xf numFmtId="0" fontId="18" fillId="0" borderId="62" xfId="0" applyFont="1" applyBorder="1" applyAlignment="1" applyProtection="1">
      <alignment vertical="top"/>
      <protection locked="0"/>
    </xf>
    <xf numFmtId="0" fontId="49" fillId="13" borderId="51" xfId="0" applyFont="1" applyFill="1" applyBorder="1" applyAlignment="1">
      <alignment horizontal="left" vertical="top" wrapText="1"/>
    </xf>
    <xf numFmtId="0" fontId="50" fillId="0" borderId="51" xfId="0" applyFont="1" applyBorder="1" applyAlignment="1">
      <alignment horizontal="left" vertical="top" wrapText="1"/>
    </xf>
    <xf numFmtId="0" fontId="16" fillId="12" borderId="51" xfId="0" applyFont="1" applyFill="1" applyBorder="1" applyAlignment="1">
      <alignment horizontal="left" vertical="top" wrapText="1"/>
    </xf>
    <xf numFmtId="3" fontId="19" fillId="0" borderId="44" xfId="0" applyNumberFormat="1" applyFont="1" applyBorder="1" applyAlignment="1" applyProtection="1">
      <alignment vertical="top"/>
      <protection locked="0"/>
    </xf>
    <xf numFmtId="3" fontId="19" fillId="11" borderId="32" xfId="0" applyNumberFormat="1" applyFont="1" applyFill="1" applyBorder="1" applyAlignment="1" applyProtection="1">
      <alignment vertical="top"/>
      <protection locked="0"/>
    </xf>
    <xf numFmtId="9" fontId="19" fillId="0" borderId="11" xfId="1" applyFont="1" applyBorder="1" applyAlignment="1" applyProtection="1">
      <alignment vertical="top" wrapText="1"/>
      <protection locked="0"/>
    </xf>
    <xf numFmtId="9" fontId="19" fillId="11" borderId="18" xfId="1" applyFont="1" applyFill="1" applyBorder="1" applyAlignment="1" applyProtection="1">
      <alignment vertical="top" wrapText="1"/>
      <protection locked="0"/>
    </xf>
    <xf numFmtId="0" fontId="15" fillId="0" borderId="1" xfId="0" applyFont="1" applyBorder="1" applyAlignment="1">
      <alignment vertical="top"/>
    </xf>
    <xf numFmtId="9" fontId="19" fillId="9" borderId="51" xfId="1" applyFont="1" applyFill="1" applyBorder="1" applyAlignment="1">
      <alignment horizontal="left" vertical="top"/>
    </xf>
    <xf numFmtId="3" fontId="18" fillId="0" borderId="3" xfId="0" applyNumberFormat="1" applyFont="1" applyBorder="1" applyAlignment="1" applyProtection="1">
      <alignment vertical="top"/>
      <protection locked="0"/>
    </xf>
    <xf numFmtId="164" fontId="19" fillId="3" borderId="105" xfId="1" applyNumberFormat="1" applyFont="1" applyFill="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16" fillId="0" borderId="4" xfId="0" applyFont="1" applyBorder="1" applyAlignment="1" applyProtection="1">
      <alignment horizontal="left" vertical="top"/>
      <protection locked="0"/>
    </xf>
    <xf numFmtId="0" fontId="16" fillId="0" borderId="2" xfId="0" quotePrefix="1"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8" fillId="0" borderId="94" xfId="0" quotePrefix="1" applyFont="1" applyBorder="1" applyAlignment="1" applyProtection="1">
      <alignment horizontal="left" vertical="top" wrapText="1"/>
      <protection locked="0"/>
    </xf>
    <xf numFmtId="0" fontId="18" fillId="0" borderId="4" xfId="0" quotePrefix="1" applyFont="1" applyBorder="1" applyAlignment="1" applyProtection="1">
      <alignment horizontal="left" vertical="top" wrapText="1"/>
      <protection locked="0"/>
    </xf>
    <xf numFmtId="0" fontId="38" fillId="0" borderId="99" xfId="0" quotePrefix="1" applyFont="1" applyBorder="1" applyAlignment="1" applyProtection="1">
      <alignment horizontal="left" vertical="top" wrapText="1"/>
      <protection locked="0"/>
    </xf>
    <xf numFmtId="0" fontId="38" fillId="0" borderId="100" xfId="0" quotePrefix="1" applyFont="1" applyBorder="1" applyAlignment="1" applyProtection="1">
      <alignment horizontal="left" vertical="top" wrapText="1"/>
      <protection locked="0"/>
    </xf>
    <xf numFmtId="0" fontId="38" fillId="0" borderId="104" xfId="0" quotePrefix="1" applyFont="1" applyBorder="1" applyAlignment="1" applyProtection="1">
      <alignment horizontal="left" vertical="top" wrapText="1"/>
      <protection locked="0"/>
    </xf>
    <xf numFmtId="0" fontId="19" fillId="0" borderId="94" xfId="0" quotePrefix="1" applyFont="1" applyBorder="1" applyAlignment="1" applyProtection="1">
      <alignment horizontal="left" vertical="top" wrapText="1"/>
      <protection locked="0"/>
    </xf>
    <xf numFmtId="0" fontId="19" fillId="0" borderId="4" xfId="0" quotePrefix="1" applyFont="1" applyBorder="1" applyAlignment="1" applyProtection="1">
      <alignment horizontal="left" vertical="top" wrapText="1"/>
      <protection locked="0"/>
    </xf>
    <xf numFmtId="0" fontId="15" fillId="0" borderId="52" xfId="0" applyFont="1" applyBorder="1" applyAlignment="1" applyProtection="1">
      <alignment horizontal="left" vertical="center" wrapText="1"/>
      <protection locked="0"/>
    </xf>
    <xf numFmtId="0" fontId="15" fillId="0" borderId="53" xfId="0" applyFont="1" applyBorder="1" applyAlignment="1" applyProtection="1">
      <alignment horizontal="left" vertical="center" wrapText="1"/>
      <protection locked="0"/>
    </xf>
    <xf numFmtId="0" fontId="15" fillId="0" borderId="54" xfId="0" applyFont="1" applyBorder="1" applyAlignment="1" applyProtection="1">
      <alignment horizontal="left" vertical="center" wrapText="1"/>
      <protection locked="0"/>
    </xf>
  </cellXfs>
  <cellStyles count="5">
    <cellStyle name="20 % - Akzent1" xfId="3" builtinId="30"/>
    <cellStyle name="Notiz" xfId="2" builtinId="10" customBuiltin="1"/>
    <cellStyle name="Prozent" xfId="1" builtinId="5"/>
    <cellStyle name="Standard" xfId="0" builtinId="0"/>
    <cellStyle name="Standard 2" xfId="4" xr:uid="{00000000-0005-0000-0000-000004000000}"/>
  </cellStyles>
  <dxfs count="6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solid">
          <bgColor theme="7" tint="0.79998168889431442"/>
        </patternFill>
      </fill>
    </dxf>
    <dxf>
      <font>
        <color rgb="FFFF0000"/>
      </font>
      <fill>
        <patternFill patternType="solid">
          <bgColor theme="7" tint="0.79998168889431442"/>
        </patternFill>
      </fill>
    </dxf>
    <dxf>
      <fill>
        <patternFill>
          <bgColor rgb="FFFF0000"/>
        </patternFill>
      </fill>
    </dxf>
    <dxf>
      <font>
        <color rgb="FF9C0006"/>
      </font>
      <fill>
        <patternFill>
          <bgColor rgb="FFFFC7CE"/>
        </patternFill>
      </fill>
    </dxf>
    <dxf>
      <font>
        <color rgb="FFC00000"/>
      </font>
      <fill>
        <patternFill>
          <fgColor rgb="FFFF0000"/>
          <bgColor rgb="FFFFC7CE"/>
        </patternFill>
      </fill>
    </dxf>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numFmt numFmtId="3" formatCode="#,##0"/>
      <fill>
        <patternFill patternType="none">
          <fgColor indexed="64"/>
          <bgColor indexed="65"/>
        </patternFill>
      </fill>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Arial Narrow"/>
        <scheme val="none"/>
      </font>
      <fill>
        <patternFill patternType="none">
          <fgColor indexed="64"/>
          <bgColor indexed="65"/>
        </patternFill>
      </fill>
    </dxf>
    <dxf>
      <font>
        <b/>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strike val="0"/>
        <outline val="0"/>
        <shadow val="0"/>
        <u val="none"/>
        <vertAlign val="baseline"/>
        <sz val="12"/>
        <name val="Arial Narrow"/>
        <scheme val="none"/>
      </font>
    </dxf>
    <dxf>
      <border outline="0">
        <right style="thin">
          <color indexed="64"/>
        </right>
        <top style="thin">
          <color indexed="64"/>
        </top>
      </border>
    </dxf>
    <dxf>
      <font>
        <strike val="0"/>
        <outline val="0"/>
        <shadow val="0"/>
        <u val="none"/>
        <vertAlign val="baseline"/>
        <sz val="12"/>
        <name val="Arial Narrow"/>
        <scheme val="none"/>
      </font>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s>
  <tableStyles count="0" defaultTableStyle="TableStyleMedium2" defaultPivotStyle="PivotStyleLight16"/>
  <colors>
    <mruColors>
      <color rgb="FFFFC7C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ction" displayName="Production" ref="B28:B35" totalsRowShown="0" headerRowDxfId="63" dataDxfId="61" headerRowBorderDxfId="62" tableBorderDxfId="60" totalsRowBorderDxfId="59">
  <autoFilter ref="B28:B35" xr:uid="{00000000-0009-0000-0100-000001000000}"/>
  <tableColumns count="1">
    <tableColumn id="1" xr3:uid="{00000000-0010-0000-0000-000001000000}" name="Production" dataDxfId="5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formation" displayName="Transformation" ref="C28:C35" totalsRowShown="0" headerRowDxfId="57" dataDxfId="55" headerRowBorderDxfId="56" tableBorderDxfId="54" totalsRowBorderDxfId="53">
  <autoFilter ref="C28:C35" xr:uid="{00000000-0009-0000-0100-000002000000}"/>
  <tableColumns count="1">
    <tableColumn id="1" xr3:uid="{00000000-0010-0000-0100-000001000000}" name="Transformation" dataDxfId="5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mmercialisation" displayName="Commercialisation" ref="D28:D35" totalsRowShown="0" headerRowDxfId="51" dataDxfId="49" headerRowBorderDxfId="50" tableBorderDxfId="48" totalsRowBorderDxfId="47">
  <autoFilter ref="D28:D35" xr:uid="{00000000-0009-0000-0100-000003000000}"/>
  <tableColumns count="1">
    <tableColumn id="1" xr3:uid="{00000000-0010-0000-0200-000001000000}" name="Commercialisation" dataDxfId="4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réation_et_développement_d’activités_dans_l’exploitation_agricole" displayName="Création_et_développement_d’activités_dans_l’exploitation_agricole" ref="E28:E35" totalsRowShown="0" headerRowDxfId="45" dataDxfId="43" headerRowBorderDxfId="44" tableBorderDxfId="42" totalsRowBorderDxfId="41">
  <autoFilter ref="E28:E35" xr:uid="{00000000-0009-0000-0100-000004000000}"/>
  <tableColumns count="1">
    <tableColumn id="1" xr3:uid="{00000000-0010-0000-0300-000001000000}" name="Création_et_développement_d’activités_dans_l’exploitation_agricole" dataDxfId="4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utres" displayName="Autres" ref="F28:F35" totalsRowShown="0" headerRowDxfId="39" dataDxfId="37" headerRowBorderDxfId="38" tableBorderDxfId="36" totalsRowBorderDxfId="35">
  <autoFilter ref="F28:F35" xr:uid="{00000000-0009-0000-0100-000005000000}"/>
  <tableColumns count="1">
    <tableColumn id="1" xr3:uid="{00000000-0010-0000-0400-000001000000}" name="Autres" dataDxfId="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électionner" displayName="sélectionner" ref="G28:G35" totalsRowShown="0" headerRowDxfId="33" dataDxfId="32">
  <autoFilter ref="G28:G35" xr:uid="{00000000-0009-0000-0100-000006000000}"/>
  <tableColumns count="1">
    <tableColumn id="1" xr3:uid="{00000000-0010-0000-0500-000001000000}" name="sélectionner" dataDxfId="3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Massnahme" displayName="Massnahme" ref="B6:B20" totalsRowShown="0" headerRowDxfId="30" dataDxfId="28" headerRowBorderDxfId="29" tableBorderDxfId="27">
  <autoFilter ref="B6:B20" xr:uid="{00000000-0009-0000-0100-00000A000000}"/>
  <tableColumns count="1">
    <tableColumn id="1" xr3:uid="{00000000-0010-0000-0600-000001000000}" name="Mesure" dataDxfId="2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Finanzierungsquellen" displayName="Finanzierungsquellen" ref="B47:B54" totalsRowShown="0" headerRowDxfId="25" dataDxfId="24" tableBorderDxfId="23">
  <autoFilter ref="B47:B54" xr:uid="{00000000-0009-0000-0100-000007000000}"/>
  <tableColumns count="1">
    <tableColumn id="1" xr3:uid="{00000000-0010-0000-0700-000001000000}" name="Sources de financement" dataDxfId="2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e8" displayName="Tabelle8" ref="B56:B60" totalsRowShown="0" headerRowDxfId="21" dataDxfId="19" headerRowBorderDxfId="20" tableBorderDxfId="18" totalsRowBorderDxfId="17">
  <autoFilter ref="B56:B60" xr:uid="{00000000-0009-0000-0100-000008000000}"/>
  <tableColumns count="1">
    <tableColumn id="1" xr3:uid="{00000000-0010-0000-0800-000001000000}" name="Assuré?" dataDxfId="16"/>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groscope.admin.ch/agroscope/de/home/themen/wirtschaft-technik/betriebswirtschaft/zabh/grundlagenbericht.html" TargetMode="External"/><Relationship Id="rId1" Type="http://schemas.openxmlformats.org/officeDocument/2006/relationships/hyperlink" Target="https://www.agroscope.admin.ch/agroscope/de/home/themen/wirtschaft-technik/betriebswirtschaft/zabh/grundlagenbericht.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K83"/>
  <sheetViews>
    <sheetView showGridLines="0" tabSelected="1" zoomScale="60" zoomScaleNormal="60" zoomScaleSheetLayoutView="80" workbookViewId="0">
      <selection activeCell="I38" sqref="I38"/>
    </sheetView>
  </sheetViews>
  <sheetFormatPr baseColWidth="10" defaultColWidth="11" defaultRowHeight="15.5" outlineLevelRow="2" x14ac:dyDescent="0.3"/>
  <cols>
    <col min="1" max="1" width="28.58203125" style="4" customWidth="1"/>
    <col min="2" max="2" width="18.33203125" style="14" customWidth="1"/>
    <col min="3" max="3" width="14" style="14" customWidth="1"/>
    <col min="4" max="4" width="21.08203125" style="14" customWidth="1"/>
    <col min="5" max="5" width="13.08203125" style="14" customWidth="1"/>
    <col min="6" max="6" width="14.83203125" style="14" customWidth="1"/>
    <col min="7" max="7" width="16.25" style="14" customWidth="1"/>
    <col min="8" max="8" width="15.08203125" style="14" customWidth="1"/>
    <col min="9" max="9" width="16.5" style="14" customWidth="1"/>
    <col min="10" max="10" width="18.58203125" style="14" customWidth="1"/>
    <col min="11" max="11" width="11.83203125" style="14" customWidth="1"/>
    <col min="12" max="12" width="14.83203125" style="14" customWidth="1"/>
    <col min="13" max="13" width="11.83203125" style="14" customWidth="1"/>
    <col min="14" max="14" width="14.33203125" style="14" customWidth="1"/>
    <col min="15" max="15" width="11.83203125" style="14" customWidth="1"/>
    <col min="16" max="16" width="12.5" style="14" customWidth="1"/>
    <col min="17" max="17" width="11.83203125" style="14" customWidth="1"/>
    <col min="18" max="18" width="13.75" style="14" customWidth="1"/>
    <col min="19" max="19" width="14.83203125" style="14" customWidth="1"/>
    <col min="20" max="20" width="15.5" style="14" customWidth="1"/>
    <col min="21" max="21" width="12.5" style="14" customWidth="1"/>
    <col min="22" max="22" width="13.08203125" style="14" customWidth="1"/>
    <col min="23" max="23" width="18.58203125" style="14" customWidth="1"/>
    <col min="24" max="24" width="14.08203125" style="14" customWidth="1"/>
    <col min="25" max="25" width="15.33203125" style="4" customWidth="1"/>
    <col min="26" max="26" width="16.83203125" style="14" customWidth="1"/>
    <col min="27" max="27" width="18.33203125" style="14" customWidth="1"/>
    <col min="28" max="28" width="16.83203125" style="14" customWidth="1"/>
    <col min="29" max="29" width="17" style="14" customWidth="1"/>
    <col min="30" max="30" width="19.58203125" style="14" customWidth="1"/>
    <col min="31" max="31" width="16.58203125" style="14" customWidth="1"/>
    <col min="32" max="32" width="18" style="14" customWidth="1"/>
    <col min="33" max="16384" width="11" style="14"/>
  </cols>
  <sheetData>
    <row r="1" spans="1:37" s="215" customFormat="1" ht="23.5" customHeight="1" x14ac:dyDescent="0.3">
      <c r="A1" s="367" t="s">
        <v>409</v>
      </c>
      <c r="B1" s="213"/>
      <c r="C1" s="213"/>
      <c r="D1" s="213"/>
      <c r="E1" s="213"/>
      <c r="F1" s="213"/>
      <c r="G1" s="213"/>
      <c r="H1" s="213"/>
      <c r="I1" s="213"/>
      <c r="J1" s="213"/>
      <c r="K1" s="213"/>
      <c r="L1" s="213"/>
      <c r="M1" s="213"/>
      <c r="N1" s="213"/>
      <c r="O1" s="213"/>
      <c r="P1" s="213"/>
      <c r="Q1" s="213"/>
      <c r="R1" s="213"/>
      <c r="S1" s="213"/>
      <c r="T1" s="213"/>
      <c r="U1" s="213"/>
      <c r="V1" s="213"/>
      <c r="W1" s="213"/>
      <c r="X1" s="213"/>
      <c r="Y1" s="214"/>
      <c r="Z1" s="213"/>
      <c r="AA1" s="213"/>
      <c r="AB1" s="213"/>
      <c r="AC1" s="213"/>
      <c r="AD1" s="213"/>
      <c r="AE1" s="213"/>
      <c r="AF1" s="213"/>
    </row>
    <row r="2" spans="1:37" s="2" customFormat="1" ht="30" customHeight="1" x14ac:dyDescent="0.3">
      <c r="A2" s="672" t="s">
        <v>275</v>
      </c>
      <c r="B2" s="306"/>
      <c r="C2" s="305" t="s">
        <v>276</v>
      </c>
      <c r="D2" s="307"/>
      <c r="Y2" s="308"/>
      <c r="AC2" s="14"/>
      <c r="AD2" s="14"/>
      <c r="AE2" s="14"/>
      <c r="AF2" s="14"/>
      <c r="AG2" s="14"/>
      <c r="AH2" s="14"/>
      <c r="AI2" s="14"/>
      <c r="AJ2" s="14"/>
      <c r="AK2" s="14"/>
    </row>
    <row r="3" spans="1:37" s="2" customFormat="1" ht="30" customHeight="1" x14ac:dyDescent="0.3">
      <c r="A3" s="673" t="s">
        <v>277</v>
      </c>
      <c r="B3" s="522" t="s">
        <v>262</v>
      </c>
      <c r="C3" s="309" t="str">
        <f t="shared" ref="C3:C7" si="0">IF(B3="sélectionner","Sélection obligatoire pour la suite du calcul","")</f>
        <v>Sélection obligatoire pour la suite du calcul</v>
      </c>
      <c r="Y3" s="308"/>
      <c r="AC3" s="14"/>
      <c r="AD3" s="14"/>
      <c r="AE3" s="14"/>
      <c r="AF3" s="14"/>
      <c r="AG3" s="14"/>
      <c r="AH3" s="14"/>
      <c r="AI3" s="14"/>
      <c r="AJ3" s="14"/>
      <c r="AK3" s="14"/>
    </row>
    <row r="4" spans="1:37" s="2" customFormat="1" ht="30" customHeight="1" x14ac:dyDescent="0.3">
      <c r="A4" s="673" t="s">
        <v>278</v>
      </c>
      <c r="B4" s="400" t="s">
        <v>262</v>
      </c>
      <c r="C4" s="309" t="str">
        <f>IF(B4="","Sélection obligatoire pour la suite du calcul","")</f>
        <v/>
      </c>
      <c r="Y4" s="308"/>
      <c r="AC4" s="14"/>
      <c r="AD4" s="14"/>
      <c r="AE4" s="14"/>
      <c r="AF4" s="14"/>
      <c r="AG4" s="14"/>
      <c r="AH4" s="14"/>
      <c r="AI4" s="14"/>
      <c r="AJ4" s="14"/>
      <c r="AK4" s="14"/>
    </row>
    <row r="5" spans="1:37" s="2" customFormat="1" ht="30" customHeight="1" x14ac:dyDescent="0.3">
      <c r="A5" s="673" t="s">
        <v>279</v>
      </c>
      <c r="B5" s="400" t="s">
        <v>262</v>
      </c>
      <c r="C5" s="309" t="str">
        <f t="shared" si="0"/>
        <v>Sélection obligatoire pour la suite du calcul</v>
      </c>
      <c r="Y5" s="308"/>
      <c r="AC5" s="14"/>
      <c r="AD5" s="14"/>
      <c r="AE5" s="14"/>
      <c r="AF5" s="14"/>
      <c r="AG5" s="14"/>
      <c r="AH5" s="14"/>
      <c r="AI5" s="14"/>
      <c r="AJ5" s="14"/>
      <c r="AK5" s="14"/>
    </row>
    <row r="6" spans="1:37" s="2" customFormat="1" ht="30" customHeight="1" x14ac:dyDescent="0.3">
      <c r="A6" s="673" t="s">
        <v>280</v>
      </c>
      <c r="B6" s="400" t="s">
        <v>262</v>
      </c>
      <c r="C6" s="309" t="str">
        <f>IF(B6="sélectionner","Sélection obligatoire pour la suite du calcul","")</f>
        <v>Sélection obligatoire pour la suite du calcul</v>
      </c>
      <c r="E6" s="2" t="s">
        <v>475</v>
      </c>
      <c r="Y6" s="308"/>
      <c r="AC6" s="14"/>
      <c r="AD6" s="14"/>
      <c r="AE6" s="14"/>
      <c r="AF6" s="14"/>
      <c r="AG6" s="14"/>
      <c r="AH6" s="14"/>
      <c r="AI6" s="14"/>
      <c r="AJ6" s="14"/>
      <c r="AK6" s="14"/>
    </row>
    <row r="7" spans="1:37" s="2" customFormat="1" ht="46.5" x14ac:dyDescent="0.35">
      <c r="A7" s="563" t="s">
        <v>489</v>
      </c>
      <c r="B7" s="564" t="s">
        <v>262</v>
      </c>
      <c r="C7" s="309" t="str">
        <f t="shared" si="0"/>
        <v>Sélection obligatoire pour la suite du calcul</v>
      </c>
      <c r="Y7" s="308"/>
      <c r="AC7" s="14"/>
      <c r="AD7" s="14"/>
      <c r="AE7" s="14"/>
      <c r="AF7" s="14"/>
      <c r="AG7" s="14"/>
      <c r="AH7" s="14"/>
      <c r="AI7" s="14"/>
      <c r="AJ7" s="14"/>
      <c r="AK7" s="14"/>
    </row>
    <row r="8" spans="1:37" x14ac:dyDescent="0.3">
      <c r="D8" s="305" t="str">
        <f t="shared" ref="D8" si="1">IF(B8="auswählen","Auswahl zwingend für weitere Berechnung","")</f>
        <v/>
      </c>
    </row>
    <row r="9" spans="1:37" s="482" customFormat="1" ht="18" x14ac:dyDescent="0.3">
      <c r="A9" s="478" t="s">
        <v>281</v>
      </c>
      <c r="B9" s="479"/>
      <c r="C9" s="479"/>
      <c r="D9" s="479"/>
      <c r="E9" s="479"/>
      <c r="F9" s="479"/>
      <c r="G9" s="479"/>
      <c r="H9" s="479"/>
      <c r="I9" s="479"/>
      <c r="J9" s="480"/>
      <c r="K9" s="479"/>
      <c r="L9" s="479"/>
      <c r="M9" s="479"/>
      <c r="N9" s="479"/>
      <c r="O9" s="479"/>
      <c r="P9" s="479"/>
      <c r="Q9" s="479"/>
      <c r="R9" s="479"/>
      <c r="S9" s="479"/>
      <c r="T9" s="479"/>
      <c r="U9" s="479"/>
      <c r="V9" s="479"/>
      <c r="W9" s="479"/>
      <c r="X9" s="479"/>
      <c r="Y9" s="479"/>
      <c r="Z9" s="479"/>
      <c r="AA9" s="479"/>
      <c r="AB9" s="479"/>
      <c r="AC9" s="14"/>
      <c r="AD9" s="14"/>
      <c r="AE9" s="14"/>
      <c r="AF9" s="14"/>
      <c r="AG9" s="14"/>
      <c r="AH9" s="14"/>
      <c r="AI9" s="14"/>
      <c r="AJ9" s="14"/>
      <c r="AK9" s="14"/>
    </row>
    <row r="10" spans="1:37" ht="98.5" hidden="1" customHeight="1" outlineLevel="1" x14ac:dyDescent="0.3">
      <c r="A10" s="710" t="s">
        <v>484</v>
      </c>
      <c r="B10" s="710"/>
      <c r="C10" s="710"/>
      <c r="D10" s="710"/>
      <c r="E10" s="710"/>
      <c r="F10" s="710"/>
      <c r="G10" s="710"/>
      <c r="H10" s="710"/>
      <c r="I10" s="710"/>
      <c r="J10" s="710"/>
      <c r="K10" s="710"/>
      <c r="L10" s="313"/>
      <c r="M10" s="313"/>
      <c r="N10" s="313"/>
      <c r="O10" s="313"/>
      <c r="P10" s="313"/>
      <c r="Q10" s="313"/>
      <c r="R10" s="313"/>
      <c r="S10" s="313"/>
      <c r="T10" s="313"/>
      <c r="U10" s="313"/>
      <c r="V10" s="313"/>
      <c r="W10" s="313"/>
      <c r="X10" s="313"/>
      <c r="Y10" s="313"/>
      <c r="Z10" s="313"/>
      <c r="AA10" s="313"/>
      <c r="AB10" s="313"/>
    </row>
    <row r="11" spans="1:37" ht="176.15" hidden="1" customHeight="1" outlineLevel="1" x14ac:dyDescent="0.3">
      <c r="A11" s="713" t="s">
        <v>465</v>
      </c>
      <c r="B11" s="713"/>
      <c r="C11" s="713"/>
      <c r="D11" s="713"/>
      <c r="E11" s="713"/>
      <c r="F11" s="713"/>
      <c r="G11" s="713"/>
      <c r="H11" s="713"/>
      <c r="I11" s="713"/>
      <c r="J11" s="713"/>
      <c r="K11" s="713"/>
      <c r="L11" s="312"/>
      <c r="M11" s="312"/>
      <c r="N11" s="312"/>
      <c r="O11" s="311"/>
      <c r="P11" s="311"/>
      <c r="Q11" s="311"/>
      <c r="R11" s="311"/>
      <c r="S11" s="311"/>
      <c r="T11" s="311"/>
      <c r="U11" s="311"/>
      <c r="V11" s="311"/>
      <c r="W11" s="311"/>
      <c r="X11" s="311"/>
      <c r="Y11" s="311"/>
      <c r="Z11" s="311"/>
      <c r="AA11" s="311"/>
      <c r="AB11" s="311"/>
    </row>
    <row r="12" spans="1:37" hidden="1" outlineLevel="1" x14ac:dyDescent="0.3">
      <c r="A12" s="710" t="s">
        <v>392</v>
      </c>
      <c r="B12" s="711"/>
      <c r="C12" s="711"/>
      <c r="D12" s="711"/>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row>
    <row r="13" spans="1:37" hidden="1" outlineLevel="2" x14ac:dyDescent="0.3">
      <c r="A13" s="311" t="s">
        <v>410</v>
      </c>
      <c r="B13" s="221" t="s">
        <v>466</v>
      </c>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row>
    <row r="14" spans="1:37" hidden="1" outlineLevel="2" x14ac:dyDescent="0.3">
      <c r="A14" s="311" t="s">
        <v>282</v>
      </c>
      <c r="B14" s="221" t="s">
        <v>467</v>
      </c>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row>
    <row r="15" spans="1:37" hidden="1" outlineLevel="2" x14ac:dyDescent="0.3">
      <c r="A15" s="311" t="s">
        <v>283</v>
      </c>
      <c r="B15" s="221" t="s">
        <v>284</v>
      </c>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row>
    <row r="16" spans="1:37" ht="31" hidden="1" outlineLevel="2" x14ac:dyDescent="0.3">
      <c r="A16" s="311" t="s">
        <v>479</v>
      </c>
      <c r="B16" s="221" t="s">
        <v>468</v>
      </c>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row>
    <row r="17" spans="1:37" hidden="1" outlineLevel="2" x14ac:dyDescent="0.3">
      <c r="A17" s="311" t="s">
        <v>457</v>
      </c>
      <c r="B17" s="221" t="s">
        <v>458</v>
      </c>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row>
    <row r="18" spans="1:37" collapsed="1" x14ac:dyDescent="0.3"/>
    <row r="19" spans="1:37" ht="43.5" customHeight="1" x14ac:dyDescent="0.3">
      <c r="A19" s="360" t="s">
        <v>285</v>
      </c>
      <c r="B19" s="314" t="s">
        <v>286</v>
      </c>
      <c r="C19" s="14" t="s">
        <v>469</v>
      </c>
      <c r="H19" s="17"/>
      <c r="L19" s="315"/>
    </row>
    <row r="21" spans="1:37" s="482" customFormat="1" ht="18" x14ac:dyDescent="0.3">
      <c r="A21" s="483" t="s">
        <v>460</v>
      </c>
      <c r="B21" s="479"/>
      <c r="C21" s="479"/>
      <c r="D21" s="479"/>
      <c r="E21" s="479"/>
      <c r="F21" s="479"/>
      <c r="G21" s="479"/>
      <c r="H21" s="479"/>
      <c r="I21" s="479"/>
      <c r="J21" s="480"/>
      <c r="K21" s="479"/>
      <c r="L21" s="479"/>
      <c r="M21" s="479"/>
      <c r="N21" s="479"/>
      <c r="O21" s="479"/>
      <c r="P21" s="479"/>
      <c r="Q21" s="479"/>
      <c r="R21" s="479"/>
      <c r="S21" s="479"/>
      <c r="T21" s="479"/>
      <c r="U21" s="479"/>
      <c r="V21" s="479"/>
      <c r="W21" s="479"/>
      <c r="X21" s="479"/>
      <c r="Y21" s="479"/>
      <c r="Z21" s="479"/>
      <c r="AA21" s="479"/>
      <c r="AB21" s="479"/>
      <c r="AC21" s="14"/>
      <c r="AD21" s="14"/>
      <c r="AE21" s="14"/>
      <c r="AF21" s="14"/>
      <c r="AG21" s="14"/>
      <c r="AH21" s="14"/>
      <c r="AI21" s="14"/>
      <c r="AJ21" s="14"/>
      <c r="AK21" s="14"/>
    </row>
    <row r="22" spans="1:37" s="2" customFormat="1" ht="45.75" customHeight="1" x14ac:dyDescent="0.3">
      <c r="A22" s="712" t="s">
        <v>503</v>
      </c>
      <c r="B22" s="712"/>
      <c r="C22" s="712"/>
      <c r="D22" s="712"/>
      <c r="E22" s="712"/>
      <c r="F22" s="712"/>
      <c r="G22" s="712"/>
      <c r="H22" s="712"/>
      <c r="I22" s="712"/>
      <c r="J22" s="712"/>
      <c r="K22" s="712"/>
      <c r="L22" s="712"/>
      <c r="M22" s="712"/>
      <c r="N22" s="712"/>
      <c r="O22" s="712"/>
      <c r="P22" s="712"/>
      <c r="Q22" s="712"/>
      <c r="R22" s="712"/>
      <c r="S22" s="318"/>
      <c r="T22" s="318"/>
      <c r="U22" s="318"/>
      <c r="V22" s="318"/>
      <c r="W22" s="318"/>
      <c r="X22" s="318"/>
      <c r="Y22" s="318"/>
      <c r="Z22" s="317"/>
      <c r="AA22" s="317"/>
      <c r="AB22" s="317"/>
      <c r="AC22" s="14"/>
      <c r="AD22" s="14"/>
      <c r="AE22" s="14"/>
      <c r="AF22" s="14"/>
      <c r="AG22" s="14"/>
      <c r="AH22" s="14"/>
      <c r="AI22" s="14"/>
      <c r="AJ22" s="14"/>
      <c r="AK22" s="14"/>
    </row>
    <row r="23" spans="1:37" s="11" customFormat="1" x14ac:dyDescent="0.35">
      <c r="A23" s="370"/>
      <c r="B23" s="229"/>
      <c r="C23" s="229"/>
      <c r="D23" s="229"/>
      <c r="E23" s="229"/>
      <c r="F23" s="229"/>
      <c r="G23" s="229"/>
      <c r="H23" s="229"/>
      <c r="I23" s="229"/>
      <c r="J23" s="229"/>
      <c r="K23" s="229"/>
      <c r="L23" s="229"/>
      <c r="M23" s="229"/>
      <c r="N23" s="229"/>
      <c r="O23" s="225"/>
      <c r="P23" s="225"/>
      <c r="Q23" s="225"/>
      <c r="R23" s="225"/>
      <c r="S23" s="225"/>
      <c r="T23" s="225"/>
      <c r="U23" s="226"/>
      <c r="V23" s="698"/>
      <c r="W23" s="319" t="s">
        <v>464</v>
      </c>
      <c r="X23" s="225"/>
      <c r="Y23" s="225"/>
      <c r="Z23" s="225"/>
      <c r="AA23" s="225"/>
      <c r="AB23" s="226"/>
      <c r="AC23" s="14"/>
      <c r="AD23" s="14"/>
      <c r="AE23" s="14"/>
      <c r="AF23" s="14"/>
      <c r="AG23" s="14"/>
      <c r="AH23" s="14"/>
      <c r="AI23" s="14"/>
      <c r="AJ23" s="14"/>
      <c r="AK23" s="14"/>
    </row>
    <row r="24" spans="1:37" s="4" customFormat="1" ht="99.65" customHeight="1" x14ac:dyDescent="0.3">
      <c r="A24" s="320" t="s">
        <v>288</v>
      </c>
      <c r="B24" s="321" t="s">
        <v>290</v>
      </c>
      <c r="C24" s="321" t="s">
        <v>291</v>
      </c>
      <c r="D24" s="322" t="s">
        <v>292</v>
      </c>
      <c r="E24" s="321" t="s">
        <v>289</v>
      </c>
      <c r="F24" s="323" t="s">
        <v>293</v>
      </c>
      <c r="G24" s="324" t="s">
        <v>294</v>
      </c>
      <c r="H24" s="325" t="s">
        <v>295</v>
      </c>
      <c r="I24" s="324" t="s">
        <v>296</v>
      </c>
      <c r="J24" s="326" t="s">
        <v>393</v>
      </c>
      <c r="K24" s="332" t="s">
        <v>298</v>
      </c>
      <c r="L24" s="523" t="s">
        <v>420</v>
      </c>
      <c r="M24" s="327" t="s">
        <v>297</v>
      </c>
      <c r="N24" s="326" t="s">
        <v>394</v>
      </c>
      <c r="O24" s="513" t="s">
        <v>408</v>
      </c>
      <c r="P24" s="514" t="s">
        <v>407</v>
      </c>
      <c r="Q24" s="518" t="s">
        <v>299</v>
      </c>
      <c r="R24" s="328" t="s">
        <v>287</v>
      </c>
      <c r="S24" s="329" t="s">
        <v>397</v>
      </c>
      <c r="T24" s="329" t="s">
        <v>300</v>
      </c>
      <c r="U24" s="330" t="s">
        <v>301</v>
      </c>
      <c r="V24" s="333" t="s">
        <v>302</v>
      </c>
      <c r="W24" s="332" t="s">
        <v>398</v>
      </c>
      <c r="X24" s="323" t="s">
        <v>399</v>
      </c>
      <c r="Y24" s="332" t="s">
        <v>400</v>
      </c>
      <c r="Z24" s="323" t="s">
        <v>401</v>
      </c>
      <c r="AA24" s="332" t="s">
        <v>395</v>
      </c>
      <c r="AB24" s="331" t="s">
        <v>396</v>
      </c>
      <c r="AC24" s="14"/>
      <c r="AD24" s="14"/>
      <c r="AE24" s="14"/>
      <c r="AF24" s="14"/>
      <c r="AG24" s="14"/>
      <c r="AH24" s="14"/>
      <c r="AI24" s="14"/>
      <c r="AJ24" s="14"/>
      <c r="AK24" s="14"/>
    </row>
    <row r="25" spans="1:37" ht="65.5" customHeight="1" x14ac:dyDescent="0.3">
      <c r="A25" s="361" t="s">
        <v>303</v>
      </c>
      <c r="B25" s="401" t="s">
        <v>305</v>
      </c>
      <c r="C25" s="399" t="s">
        <v>305</v>
      </c>
      <c r="D25" s="408" t="str">
        <f>IF(C25='Dropdown input'!$B$8,'Dropdown input'!$A$8,IF(C25='Dropdown input'!$B$9,'Dropdown input'!$A$9,IF(C25='Dropdown input'!$B$10,'Dropdown input'!$A$10,IF(C25='Dropdown input'!$B$11,'Dropdown input'!$A$11,IF(C25='Dropdown input'!$B$12,'Dropdown input'!$A$12,IF(C25='Dropdown input'!$B$13,'Dropdown input'!$A$13,IF(C25='Dropdown input'!$B$14,'Dropdown input'!$A$14,IF(C25='Dropdown input'!$B$15,'Dropdown input'!$A$15,IF(C25='Dropdown input'!$B$16,'Dropdown input'!$A$16,IF(C25='Dropdown input'!$B$17,'Dropdown input'!$A$17,IF(C25='Dropdown input'!$B$18,'Dropdown input'!$A$18,IF(C25='Dropdown input'!$B$19,'Dropdown input'!$A$19,IF(C25='Dropdown input'!$B$20,'Dropdown input'!$A$20,IF(C25="…veuillez sélectionner la mesure","…veuillez sélectionner la mesure"))))))))))))))</f>
        <v>…veuillez sélectionner la mesure</v>
      </c>
      <c r="E25" s="334"/>
      <c r="F25" s="335"/>
      <c r="G25" s="411">
        <f>IF(D25=3, $C$46, IF(D25=4,$C$46, IF(D25=5,$C$46, IF(D25=6,$C$46, IF(D25=7,$C$46, IF(D25=8,$C$46, E25-F25))))))</f>
        <v>0</v>
      </c>
      <c r="H25" s="404" t="str">
        <f>IF(D25=2,'Dropdown input'!$C$9,IF(D25=9,'Dropdown input'!$C$16,IF(C25="…veuillez sélectionner la mesure","…veuillez sélectionner la mesure",0)))</f>
        <v>…veuillez sélectionner la mesure</v>
      </c>
      <c r="I25" s="403" t="str">
        <f>IFERROR(G25-G25*H25,"")</f>
        <v/>
      </c>
      <c r="J25" s="405" t="str">
        <f>IF(D25=1,IF(B25="Plaine",34%,IF(B25="ZC / ZM I",37%,IF(B25="ZM II - IV, région d'estivage",40%))),
IF(D25=2,IF(B25="Plaine",34%,IF(B25="ZC / ZM I",37%,IF(B25="ZM II - IV, région d'estivage",40%))),
IF(D25=3,$D$46,
IF(D25=4,$D$46,
IF(D25=5,$D$46,
IF(D25=6,$D$46,
IF(D25=7,$D$46, IF(D25=8,$D$46,
IF(D25=9,IF(B25="Plaine",34%,IF(B25="ZC / ZM I",37%,IF(B25="ZM II - IV, région d'estivage",40%))),
IF(D25=10," reprendre du modèle bâtiments ruraux",
IF(D25=11,"reprendre du modèle bâtiments ruraux",
IF(D25=12,"veuillez clarifier spécifiquement avec l'OFAG",
IF(D25=13," reprendre du modèle bâtiments ruraux ",
IF(D25="…veuillez sélectionner la mesure","…veuillez sélectionner la mesure"))))))))))))))</f>
        <v>…veuillez sélectionner la mesure</v>
      </c>
      <c r="K25" s="561" t="str">
        <f>IF(D25=1,'Dropdown input'!$F$8,IF(D25=2,'Dropdown input'!$F$9,IF(D25=3,$G$46,IF(D25=4,$G$46,IF(D25=5,$G$46,IF(D25=6,$G$46, IF(D25=7,$G$46,IF(D25=8,$G$46,IF(D25=9,'Dropdown input'!$F$16, IF(D25=10,'Dropdown input'!$F$17, IF(D25=11,'Dropdown input'!$F$18,IF(D25=12,"Bitte BLW kontaktieren",IF(D25=13,'Dropdown input'!$F$20, "")))))))))))))</f>
        <v/>
      </c>
      <c r="L25" s="696" t="str">
        <f>IFERROR(IF(J25="reprendre du modèle bâtiments ruraux","reprendre du modèle bâtiments ruraux",I25*K25*J25),"")</f>
        <v/>
      </c>
      <c r="M25" s="406" t="str">
        <f>IF(D25=1,'Dropdown input'!$D$8,
IF(D25=2,'Dropdown input'!$D$9,
IF(D25=3,'Dropdown input'!$D$10,
IF(D25=4,'Dropdown input'!$D$11,
IF(D25=5,'Dropdown input'!$D$12,
IF(D25=6,'Dropdown input'!$D$13,
IF(D25=7,'Dropdown input'!$D$14,
IF(D25=8,'Dropdown input'!$D$15,
IF(D25=9,'Dropdown input'!$D$16,
IF(D25=10,'Dropdown input'!$D$17,
IF(D25=11,'Dropdown input'!$D$18,
IF(D25=12,'Dropdown input'!$D$19,
IF(D25=13,'Dropdown input'!$D$20,
IF(D25="…veuillez sélectionner la mesure","…veuillez sélectionner la mesure"))))))))))))))</f>
        <v>…veuillez sélectionner la mesure</v>
      </c>
      <c r="N25" s="407" t="str">
        <f>IFERROR(IF(J25="reprendre du modèle bâtiments ruraux",(L25/(K25*I25))*M25+(L25/(K25*I25)),J25+J25*M25),"")</f>
        <v/>
      </c>
      <c r="O25" s="358" t="str">
        <f>IFERROR(I25*(K25*N25),"")</f>
        <v/>
      </c>
      <c r="P25" s="515"/>
      <c r="Q25" s="519" t="str">
        <f>IFERROR((P25+O25)/I25,"")</f>
        <v/>
      </c>
      <c r="R25" s="336" t="str">
        <f>IFERROR(IF(Q25&lt;K25*N25,Q25/K25,N25),"")</f>
        <v/>
      </c>
      <c r="S25" s="337" t="str">
        <f>IFERROR(R25*I25,"")</f>
        <v/>
      </c>
      <c r="T25" s="610">
        <f>IFERROR(O25+S25+P25,0)</f>
        <v>0</v>
      </c>
      <c r="U25" s="338" t="str">
        <f>IFERROR(T25/E25,"")</f>
        <v/>
      </c>
      <c r="V25" s="611">
        <f>E25-T25</f>
        <v>0</v>
      </c>
      <c r="W25" s="339"/>
      <c r="X25" s="335"/>
      <c r="Y25" s="339"/>
      <c r="Z25" s="335"/>
      <c r="AA25" s="339"/>
      <c r="AB25" s="339"/>
    </row>
    <row r="26" spans="1:37" ht="48.65" customHeight="1" x14ac:dyDescent="0.3">
      <c r="A26" s="362" t="s">
        <v>304</v>
      </c>
      <c r="B26" s="409" t="s">
        <v>305</v>
      </c>
      <c r="C26" s="410" t="s">
        <v>305</v>
      </c>
      <c r="D26" s="408" t="str">
        <f>IF(C26='Dropdown input'!$B$8,'Dropdown input'!$A$8,IF(C26='Dropdown input'!$B$9,'Dropdown input'!$A$9,IF(C26='Dropdown input'!$B$10,'Dropdown input'!$A$10,IF(C26='Dropdown input'!$B$11,'Dropdown input'!$A$11,IF(C26='Dropdown input'!$B$12,'Dropdown input'!$A$12,IF(C26='Dropdown input'!$B$13,'Dropdown input'!$A$13,IF(C26='Dropdown input'!$B$14,'Dropdown input'!$A$14,IF(C26='Dropdown input'!$B$15,'Dropdown input'!$A$15,IF(C26='Dropdown input'!$B$16,'Dropdown input'!$A$16,IF(C26='Dropdown input'!$B$17,'Dropdown input'!$A$17,IF(C26='Dropdown input'!$B$18,'Dropdown input'!$A$18,IF(C26='Dropdown input'!$B$19,'Dropdown input'!$A$19,IF(C26='Dropdown input'!$B$20,'Dropdown input'!$A$20,IF(C26="…veuillez sélectionner la mesure","…veuillez sélectionner la mesure"))))))))))))))</f>
        <v>…veuillez sélectionner la mesure</v>
      </c>
      <c r="E26" s="340"/>
      <c r="F26" s="341"/>
      <c r="G26" s="411">
        <f t="shared" ref="G26:G28" si="2">IF(D26=3, $C$46, IF(D26=4,$C$46, IF(D26=5,$C$46, IF(D26=6,$C$46, IF(D26=7,$C$46, IF(D26=8,$C$46, E26-F26))))))</f>
        <v>0</v>
      </c>
      <c r="H26" s="404" t="str">
        <f>IF(D26=2,'Dropdown input'!$C$9,IF(D26=9,'Dropdown input'!$C$16,IF(C26="…veuillez sélectionner la mesure","…veuillez sélectionner la mesure",0)))</f>
        <v>…veuillez sélectionner la mesure</v>
      </c>
      <c r="I26" s="411" t="str">
        <f t="shared" ref="I26:I32" si="3">IFERROR(G26-G26*H26,"")</f>
        <v/>
      </c>
      <c r="J26" s="405" t="str">
        <f>IF(D26=1,IF(B26="Plaine",34%,IF(B26="ZC / ZM I",37%,IF(B26="ZM II - IV, région d'estivage",40%))),
IF(D26=2,IF(B26="Plaine",34%,IF(B26="ZC / ZM I",37%,IF(B26="ZM II - IV, région d'estivage",40%))),
IF(D26=3,$D$46,
IF(D26=4,$D$46,
IF(D26=5,$D$46,
IF(D26=6,$D$46,
IF(D26=7,$D$46, IF(D26=8,$D$46,
IF(D26=9,IF(B26="Plaine",34%,IF(B26="ZC / ZM I",37%,IF(B26="ZM II - IV, région d'estivage",40%))),
IF(D26=10," reprendre du modèle bâtiments ruraux",
IF(D26=11,"reprendre du modèle bâtiments ruraux",
IF(D26=12,"veuillez clarifier spécifiquement avec l'OFAG",
IF(D26=13," reprendre du modèle bâtiments ruraux ",
IF(D26="…veuillez sélectionner la mesure","…veuillez sélectionner la mesure"))))))))))))))</f>
        <v>…veuillez sélectionner la mesure</v>
      </c>
      <c r="K26" s="561" t="str">
        <f>IF(D26=1,'Dropdown input'!$F$8,IF(D26=2,'Dropdown input'!$F$9,IF(D26=3,$G$46,IF(D26=4,$G$46,IF(D26=5,$G$46,IF(D26=6,$G$46, IF(D26=7,$G$46,IF(D26=8,$G$46,IF(D26=9,'Dropdown input'!$F$16, IF(D26=10,'Dropdown input'!$F$17, IF(D26=11,'Dropdown input'!$F$18,IF(D26=12,"Bitte BLW kontaktieren",IF(D26=13,'Dropdown input'!$F$20, "")))))))))))))</f>
        <v/>
      </c>
      <c r="L26" s="696" t="str">
        <f t="shared" ref="L26:L28" si="4">IFERROR(IF(J26="reprendre du modèle bâtiments ruraux","reprendre du modèle bâtiments ruraux",I26*K26*J26),"")</f>
        <v/>
      </c>
      <c r="M26" s="406" t="str">
        <f>IF(D26=1,'Dropdown input'!$D$8,
IF(D26=2,'Dropdown input'!$D$9,
IF(D26=3,'Dropdown input'!$D$10,
IF(D26=4,'Dropdown input'!$D$11,
IF(D26=5,'Dropdown input'!$D$12,
IF(D26=6,'Dropdown input'!$D$13,
IF(D26=7,'Dropdown input'!$D$14,
IF(D26=8,'Dropdown input'!$D$15,
IF(D26=9,'Dropdown input'!$D$16,
IF(D26=10,'Dropdown input'!$D$17,
IF(D26=11,'Dropdown input'!$D$18,
IF(D26=12,'Dropdown input'!$D$19,
IF(D26=13,'Dropdown input'!$D$20,
IF(D26="…veuillez sélectionner la mesure","…veuillez sélectionner la mesure"))))))))))))))</f>
        <v>…veuillez sélectionner la mesure</v>
      </c>
      <c r="N26" s="407" t="str">
        <f t="shared" ref="N26:N28" si="5">IFERROR(IF(J26="reprendre du modèle bâtiments ruraux",(L26/(K26*I26))*M26+(L26/(K26*I26)),J26+J26*M26),"")</f>
        <v/>
      </c>
      <c r="O26" s="359" t="str">
        <f>IFERROR(I26*(K26*N26),"")</f>
        <v/>
      </c>
      <c r="P26" s="516"/>
      <c r="Q26" s="520" t="str">
        <f t="shared" ref="Q26:Q33" si="6">IFERROR((P26+O26)/I26,"")</f>
        <v/>
      </c>
      <c r="R26" s="342" t="str">
        <f t="shared" ref="R26:R33" si="7">IFERROR(IF(Q26&lt;K26*N26,Q26/K26,N26),"")</f>
        <v/>
      </c>
      <c r="S26" s="343" t="str">
        <f t="shared" ref="S26:S33" si="8">IFERROR(R26*I26,"")</f>
        <v/>
      </c>
      <c r="T26" s="610">
        <f t="shared" ref="T26:T33" si="9">IFERROR(O26+S26+P26,0)</f>
        <v>0</v>
      </c>
      <c r="U26" s="338" t="str">
        <f>IFERROR(T26/E26,"")</f>
        <v/>
      </c>
      <c r="V26" s="612">
        <f>E26-T26</f>
        <v>0</v>
      </c>
      <c r="W26" s="344"/>
      <c r="X26" s="341"/>
      <c r="Y26" s="344"/>
      <c r="Z26" s="341"/>
      <c r="AA26" s="344"/>
      <c r="AB26" s="344"/>
    </row>
    <row r="27" spans="1:37" ht="48.65" customHeight="1" x14ac:dyDescent="0.3">
      <c r="A27" s="362" t="s">
        <v>306</v>
      </c>
      <c r="B27" s="409" t="s">
        <v>305</v>
      </c>
      <c r="C27" s="410" t="s">
        <v>305</v>
      </c>
      <c r="D27" s="408" t="str">
        <f>IF(C27='Dropdown input'!$B$8,'Dropdown input'!$A$8,IF(C27='Dropdown input'!$B$9,'Dropdown input'!$A$9,IF(C27='Dropdown input'!$B$10,'Dropdown input'!$A$10,IF(C27='Dropdown input'!$B$11,'Dropdown input'!$A$11,IF(C27='Dropdown input'!$B$12,'Dropdown input'!$A$12,IF(C27='Dropdown input'!$B$13,'Dropdown input'!$A$13,IF(C27='Dropdown input'!$B$14,'Dropdown input'!$A$14,IF(C27='Dropdown input'!$B$15,'Dropdown input'!$A$15,IF(C27='Dropdown input'!$B$16,'Dropdown input'!$A$16,IF(C27='Dropdown input'!$B$17,'Dropdown input'!$A$17,IF(C27='Dropdown input'!$B$18,'Dropdown input'!$A$18,IF(C27='Dropdown input'!$B$19,'Dropdown input'!$A$19,IF(C27='Dropdown input'!$B$20,'Dropdown input'!$A$20,IF(C27="…veuillez sélectionner la mesure","…veuillez sélectionner la mesure"))))))))))))))</f>
        <v>…veuillez sélectionner la mesure</v>
      </c>
      <c r="E27" s="340"/>
      <c r="F27" s="341"/>
      <c r="G27" s="411">
        <f t="shared" si="2"/>
        <v>0</v>
      </c>
      <c r="H27" s="404" t="str">
        <f>IF(D27=2,'Dropdown input'!$C$9,IF(D27=9,'Dropdown input'!$C$16,IF(C27="…veuillez sélectionner la mesure","…veuillez sélectionner la mesure",0)))</f>
        <v>…veuillez sélectionner la mesure</v>
      </c>
      <c r="I27" s="411" t="str">
        <f t="shared" si="3"/>
        <v/>
      </c>
      <c r="J27" s="405" t="str">
        <f t="shared" ref="J27:J28" si="10">IF(D27=1,IF(B27="Plaine",34%,IF(B27="ZC / ZM I",37%,IF(B27="ZM II - IV, région d'estivage",40%))),
IF(D27=2,IF(B27="Plaine",34%,IF(B27="ZC / ZM I",37%,IF(B27="ZM II - IV, région d'estivage",40%))),
IF(D27=3,$D$46,
IF(D27=4,$D$46,
IF(D27=5,$D$46,
IF(D27=6,$D$46,
IF(D27=7,$D$46, IF(D27=8,$D$46,
IF(D27=9,IF(B27="Plaine",34%,IF(B27="ZC / ZM I",37%,IF(B27="ZM II - IV, région d'estivage",40%))),
IF(D27=10," reprendre du modèle bâtiments ruraux",
IF(D27=11,"reprendre du modèle bâtiments ruraux",
IF(D27=12,"veuillez clarifier spécifiquement avec l'OFAG",
IF(D27=13," reprendre du modèle bâtiments ruraux ",
IF(D27="…veuillez sélectionner la mesure","…veuillez sélectionner la mesure"))))))))))))))</f>
        <v>…veuillez sélectionner la mesure</v>
      </c>
      <c r="K27" s="561" t="str">
        <f>IF(D27=1,'Dropdown input'!$F$8,IF(D27=2,'Dropdown input'!$F$9,IF(D27=3,$G$46,IF(D27=4,$G$46,IF(D27=5,$G$46,IF(D27=6,$G$46, IF(D27=7,$G$46,IF(D27=8,$G$46,IF(D27=9,'Dropdown input'!$F$16, IF(D27=10,'Dropdown input'!$F$17, IF(D27=11,'Dropdown input'!$F$18,IF(D27=12,"Bitte BLW kontaktieren",IF(D27=13,'Dropdown input'!$F$20, "")))))))))))))</f>
        <v/>
      </c>
      <c r="L27" s="696" t="str">
        <f t="shared" si="4"/>
        <v/>
      </c>
      <c r="M27" s="406" t="str">
        <f>IF(D27=1,'Dropdown input'!$D$8,
IF(D27=2,'Dropdown input'!$D$9,
IF(D27=3,'Dropdown input'!$D$10,
IF(D27=4,'Dropdown input'!$D$11,
IF(D27=5,'Dropdown input'!$D$12,
IF(D27=6,'Dropdown input'!$D$13,
IF(D27=7,'Dropdown input'!$D$14,
IF(D27=8,'Dropdown input'!$D$15,
IF(D27=9,'Dropdown input'!$D$16,
IF(D27=10,'Dropdown input'!$D$17,
IF(D27=11,'Dropdown input'!$D$18,
IF(D27=12,'Dropdown input'!$D$19,
IF(D27=13,'Dropdown input'!$D$20,
IF(D27="…veuillez sélectionner la mesure","…veuillez sélectionner la mesure"))))))))))))))</f>
        <v>…veuillez sélectionner la mesure</v>
      </c>
      <c r="N27" s="407" t="str">
        <f t="shared" si="5"/>
        <v/>
      </c>
      <c r="O27" s="359" t="str">
        <f>IFERROR(I27*(K27*N27),"")</f>
        <v/>
      </c>
      <c r="P27" s="516"/>
      <c r="Q27" s="520" t="str">
        <f t="shared" si="6"/>
        <v/>
      </c>
      <c r="R27" s="342" t="str">
        <f t="shared" si="7"/>
        <v/>
      </c>
      <c r="S27" s="343" t="str">
        <f t="shared" si="8"/>
        <v/>
      </c>
      <c r="T27" s="610">
        <f t="shared" si="9"/>
        <v>0</v>
      </c>
      <c r="U27" s="338" t="str">
        <f>IFERROR(T27/E27,"")</f>
        <v/>
      </c>
      <c r="V27" s="612">
        <f>E27-T27</f>
        <v>0</v>
      </c>
      <c r="W27" s="344"/>
      <c r="X27" s="341"/>
      <c r="Y27" s="344"/>
      <c r="Z27" s="341"/>
      <c r="AA27" s="344"/>
      <c r="AB27" s="344"/>
    </row>
    <row r="28" spans="1:37" ht="48.65" customHeight="1" x14ac:dyDescent="0.3">
      <c r="A28" s="362" t="s">
        <v>307</v>
      </c>
      <c r="B28" s="409" t="s">
        <v>305</v>
      </c>
      <c r="C28" s="410" t="s">
        <v>305</v>
      </c>
      <c r="D28" s="408" t="str">
        <f>IF(C28='Dropdown input'!$B$8,'Dropdown input'!$A$8,IF(C28='Dropdown input'!$B$9,'Dropdown input'!$A$9,IF(C28='Dropdown input'!$B$10,'Dropdown input'!$A$10,IF(C28='Dropdown input'!$B$11,'Dropdown input'!$A$11,IF(C28='Dropdown input'!$B$12,'Dropdown input'!$A$12,IF(C28='Dropdown input'!$B$13,'Dropdown input'!$A$13,IF(C28='Dropdown input'!$B$14,'Dropdown input'!$A$14,IF(C28='Dropdown input'!$B$15,'Dropdown input'!$A$15,IF(C28='Dropdown input'!$B$16,'Dropdown input'!$A$16,IF(C28='Dropdown input'!$B$17,'Dropdown input'!$A$17,IF(C28='Dropdown input'!$B$18,'Dropdown input'!$A$18,IF(C28='Dropdown input'!$B$19,'Dropdown input'!$A$19,IF(C28='Dropdown input'!$B$20,'Dropdown input'!$A$20,IF(C28="…veuillez sélectionner la mesure","…veuillez sélectionner la mesure"))))))))))))))</f>
        <v>…veuillez sélectionner la mesure</v>
      </c>
      <c r="E28" s="340"/>
      <c r="F28" s="341"/>
      <c r="G28" s="411">
        <f t="shared" si="2"/>
        <v>0</v>
      </c>
      <c r="H28" s="404" t="str">
        <f>IF(D28=2,'Dropdown input'!$C$9,IF(D28=9,'Dropdown input'!$C$16,IF(C28="…veuillez sélectionner la mesure","…veuillez sélectionner la mesure",0)))</f>
        <v>…veuillez sélectionner la mesure</v>
      </c>
      <c r="I28" s="411" t="str">
        <f t="shared" si="3"/>
        <v/>
      </c>
      <c r="J28" s="405" t="str">
        <f t="shared" si="10"/>
        <v>…veuillez sélectionner la mesure</v>
      </c>
      <c r="K28" s="561" t="str">
        <f>IF(D28=1,'Dropdown input'!$F$8,IF(D28=2,'Dropdown input'!$F$9,IF(D28=3,$G$46,IF(D28=4,$G$46,IF(D28=5,$G$46,IF(D28=6,$G$46, IF(D28=7,$G$46,IF(D28=8,$G$46,IF(D28=9,'Dropdown input'!$F$16, IF(D28=10,'Dropdown input'!$F$17, IF(D28=11,'Dropdown input'!$F$18,IF(D28=12,"Bitte BLW kontaktieren",IF(D28=13,'Dropdown input'!$F$20, "")))))))))))))</f>
        <v/>
      </c>
      <c r="L28" s="696" t="str">
        <f t="shared" si="4"/>
        <v/>
      </c>
      <c r="M28" s="406" t="str">
        <f>IF(D28=1,'Dropdown input'!$D$8,
IF(D28=2,'Dropdown input'!$D$9,
IF(D28=3,'Dropdown input'!$D$10,
IF(D28=4,'Dropdown input'!$D$11,
IF(D28=5,'Dropdown input'!$D$12,
IF(D28=6,'Dropdown input'!$D$13,
IF(D28=7,'Dropdown input'!$D$14,
IF(D28=8,'Dropdown input'!$D$15,
IF(D28=9,'Dropdown input'!$D$16,
IF(D28=10,'Dropdown input'!$D$17,
IF(D28=11,'Dropdown input'!$D$18,
IF(D28=12,'Dropdown input'!$D$19,
IF(D28=13,'Dropdown input'!$D$20,
IF(D28="…veuillez sélectionner la mesure","…veuillez sélectionner la mesure"))))))))))))))</f>
        <v>…veuillez sélectionner la mesure</v>
      </c>
      <c r="N28" s="407" t="str">
        <f t="shared" si="5"/>
        <v/>
      </c>
      <c r="O28" s="359" t="str">
        <f>IFERROR(I28*(K28*N28),"")</f>
        <v/>
      </c>
      <c r="P28" s="516"/>
      <c r="Q28" s="521" t="str">
        <f>IFERROR((P28+O28)/I28,"")</f>
        <v/>
      </c>
      <c r="R28" s="342" t="str">
        <f t="shared" si="7"/>
        <v/>
      </c>
      <c r="S28" s="343" t="str">
        <f>IFERROR(R28*I28,"")</f>
        <v/>
      </c>
      <c r="T28" s="610">
        <f t="shared" si="9"/>
        <v>0</v>
      </c>
      <c r="U28" s="338" t="str">
        <f>IFERROR(T28/E28,"")</f>
        <v/>
      </c>
      <c r="V28" s="612">
        <f>E28-T28</f>
        <v>0</v>
      </c>
      <c r="W28" s="344"/>
      <c r="X28" s="341"/>
      <c r="Y28" s="344"/>
      <c r="Z28" s="341"/>
      <c r="AA28" s="344"/>
      <c r="AB28" s="344"/>
    </row>
    <row r="29" spans="1:37" ht="48.65" hidden="1" customHeight="1" outlineLevel="1" x14ac:dyDescent="0.3">
      <c r="A29" s="362" t="s">
        <v>308</v>
      </c>
      <c r="B29" s="340"/>
      <c r="C29" s="409" t="s">
        <v>305</v>
      </c>
      <c r="D29" s="410" t="s">
        <v>305</v>
      </c>
      <c r="E29" s="402" t="str">
        <f>IF(D29="Investissements collectifs dans l'intérêt de l'ensemble du projet",1,IF(D29="Mise en place d'une branche de production dans l'exploitation agricole",2,IF(D29="ZM: Transformation, stockage et commercialisation en commun de produits agricoles régionaux",3,IF(D29="ZC: Transformation, stockage et commercialisation en commun de produits agricoles régionaux",4,IF(D29="Région de plaine : Transformation, stockage et commercialisation en commun de produits agricoles régionaux",5,IF(D29="Autres mesures dans l'intérêt du projet global (réduction min. 50%)",6,IF(D29="Bâtiments alpestres",7,IF(D29="Construction individuelle d'étables pour animaux consommant des fourrages grossiers",8,IF(D29="Mesures d'améliorations foncières",9,IF(D29="Mesures individuelles contribuant à la protection de l'environnement",10,IF(D29="Mesures individuelles transformation petites entreprises artisanales",11,IF(D29="…veuillez sélectionner la mesure",""))))))))))))</f>
        <v/>
      </c>
      <c r="F29" s="341"/>
      <c r="G29" s="411">
        <f>B29-F29</f>
        <v>0</v>
      </c>
      <c r="H29" s="404" t="str">
        <f>IF(E29=1,IF(#REF!="orienté sur la chaîne de création de valeur",'Dropdown input'!$C$8,IF('Vue d''ensemble'!#REF!="intersectoriel",'Dropdown input'!#REF!, IF(#REF!="sélectionner",""))),IF(E29=2,IF(#REF!="orienté sur la chaîne de création de valeur",'Dropdown input'!$C$9,IF('Vue d''ensemble'!#REF!="intersectoriel",'Dropdown input'!#REF!, IF(#REF!="sélectionner",""))),IF(E29=3,IF(#REF!="orienté sur la chaîne de création de valeur",'Dropdown input'!$C$10,IF('Vue d''ensemble'!#REF!="intersectoriel",'Dropdown input'!#REF!, IF(#REF!="sélectionner",""))),IF(E29=4,IF(#REF!="orienté sur la chaîne de création de valeur",'Dropdown input'!$C$12,IF('Vue d''ensemble'!#REF!="intersectoriel",'Dropdown input'!#REF!, IF(#REF!="sélectionner",""))),IF(E29=5,IF(#REF!="orienté sur la chaîne de création de valeur",'Dropdown input'!$C$13,IF('Vue d''ensemble'!#REF!="intersectoriel",'Dropdown input'!#REF!, IF(#REF!="sélectionner",""))),IF(E29=6,IF(#REF!="orienté sur la chaîne de création de valeur",'Dropdown input'!$C$14,IF('Vue d''ensemble'!#REF!="intersectoriel",'Dropdown input'!#REF!, IF(#REF!="sélectionner",""))),IF(E29=7,IF(#REF!="orienté sur la chaîne de création de valeur",'Dropdown input'!$C$15,IF('Vue d''ensemble'!#REF!="intersectoriel",'Dropdown input'!#REF!, IF(#REF!="sélectionner",""))),IF(E29=8,IF(#REF!="orienté sur la chaîne de création de valeur",'Dropdown input'!$C$16,IF('Vue d''ensemble'!#REF!="intersectoriel",'Dropdown input'!#REF!, IF(#REF!="sélectionner",""))),IF(E29=9,IF(#REF!="orienté sur la chaîne de création de valeur",'Dropdown input'!$C$17,IF('Vue d''ensemble'!#REF!="intersectoriel",'Dropdown input'!#REF!, IF(#REF!="sélectionner",""))),IF(E29=10,IF(#REF!="orienté sur la chaîne de création de valeur",'Dropdown input'!$C$18,IF('Vue d''ensemble'!#REF!="intersectoriel",'Dropdown input'!#REF!, IF(#REF!="sélectionner",""))),IF(E29=11,IF(#REF!="orienté sur la chaîne de création de valeur",'Dropdown input'!$C$19,IF('Vue d''ensemble'!#REF!="intersectoriel",'Dropdown input'!#REF!, IF(#REF!="sélectionner",""))),IF(E29="",""))))))))))))</f>
        <v/>
      </c>
      <c r="I29" s="411" t="str">
        <f t="shared" si="3"/>
        <v/>
      </c>
      <c r="J29" s="405" t="str">
        <f>IF(E29=1,(IF(C29="Plaine",34%,IF(C29="ZC / ZM I",37%,IF(C29="ZM II - IV, région d'estivage",40%,)))),IF(E29=2,(IF(C29="Plaine",34%,IF(C29="ZC / ZM I",37%,IF(C29="ZM II - IV, région d'estivage",40%,)))),IF(E29=3,22%,IF(E29=4,37%,IF(E29=5,34%,IF(E29=6,(IF(C29="Plaine",34%,IF(C29="ZC / ZM I",37%,IF(C29="ZM II - IV, région d'estivage",40%,)))),IF(E29=7,"N/A",IF(E29=8,"N/A",IF(E29=9,"veuillez clarifier spécifiquement avec l'OFAG",IF(E29=10,"N/A",IF(E29=11,22%,IF(E29="",""))))))))))))</f>
        <v/>
      </c>
      <c r="K29" s="561" t="str">
        <f>IF(E29=1,'Dropdown input'!$F$8,IF(E29=2,'Dropdown input'!$F$9,IF(E29=3,'Dropdown input'!$F$10,IF(E29=4,'Dropdown input'!$F$10,IF(E29=5,'Dropdown input'!$F$13,IF(E29=6,'Dropdown input'!$F$14,IF(E29=7,'Dropdown input'!$F$15,IF(E29=8,'Dropdown input'!$F$16,IF(E29=9,"veuillez clarifier spécifiquement avec l'OFAG",IF(E29=11,'Dropdown input'!$F$19,IF(E29=10,'Dropdown input'!$F$18,"")))))))))))</f>
        <v/>
      </c>
      <c r="L29" s="516" t="str">
        <f t="shared" ref="L29:L33" si="11">IFERROR(IF(J29="N/A","reprendre du modèle bâtiments ruraux",I29*K29*J29),"")</f>
        <v/>
      </c>
      <c r="M29" s="406" t="str">
        <f>IF(E29=1,IF(#REF!="orienté sur la chaîne de création de valeur",'Dropdown input'!$D$8,IF('Vue d''ensemble'!#REF!="intersectoriel",'Dropdown input'!#REF!,IF(#REF!="sélectionner",""))),IF(E29=2,IF(#REF!="orienté sur la chaîne de création de valeur",'Dropdown input'!$D$9,IF('Vue d''ensemble'!#REF!="intersectoriel",'Dropdown input'!#REF!,IF(#REF!="sélectionner",""))),IF(E29=3,IF(#REF!="orienté sur la chaîne de création de valeur",'Dropdown input'!$D$10,IF('Vue d''ensemble'!#REF!="intersectoriel",'Dropdown input'!#REF!,IF(#REF!="sélectionner",""))),IF(E29=4,IF(#REF!="orienté sur la chaîne de création de valeur",'Dropdown input'!$D$12,IF('Vue d''ensemble'!#REF!="intersectoriel",'Dropdown input'!#REF!,IF(#REF!="sélectionner",""))),IF(E29=5,IF(#REF!="orienté sur la chaîne de création de valeur",'Dropdown input'!$D$13,IF('Vue d''ensemble'!#REF!="intersectoriel",'Dropdown input'!#REF!,IF(#REF!="sélectionner",""))),IF(E29=6,IF(#REF!="orienté sur la chaîne de création de valeur",'Dropdown input'!$D$14,IF('Vue d''ensemble'!#REF!="intersectoriel",'Dropdown input'!#REF!,IF(#REF!="sélectionner",""))),IF(E29=7,IF(#REF!="orienté sur la chaîne de création de valeur",'Dropdown input'!$D$15,IF('Vue d''ensemble'!#REF!="intersectoriel",'Dropdown input'!#REF!,IF(#REF!="sélectionner",""))),IF(E29=8,IF(#REF!="orienté sur la chaîne de création de valeur",'Dropdown input'!$D$16,IF('Vue d''ensemble'!#REF!="intersectoriel",'Dropdown input'!#REF!,IF(#REF!="sélectionner",""))),IF(E29=9,IF(#REF!="orienté sur la chaîne de création de valeur",'Dropdown input'!$D$17,IF(#REF!="intersectoriel",'Dropdown input'!#REF!,IF(#REF!="sélectionner",""))),IF(E29=10,IF(#REF!="orienté sur la chaîne de création de valeur",'Dropdown input'!$D$18,IF('Vue d''ensemble'!#REF!="intersectoriel",'Dropdown input'!#REF!,IF(#REF!="sélectionner",""))),IF(E29=11,IF(#REF!="orienté sur la chaîne de création de valeur",'Dropdown input'!$D$19,IF('Vue d''ensemble'!#REF!="intersectoriel",'Dropdown input'!#REF!,IF(#REF!="sélectionner",""))),IF(E29="",""))))))))))))</f>
        <v/>
      </c>
      <c r="N29" s="407" t="str">
        <f t="shared" ref="N29:N33" si="12">IFERROR(IF(J29="N/A",(L29/(K29*I29))*M29+(L29/(K29*I29)),J29+J29*M29),"")</f>
        <v/>
      </c>
      <c r="O29" s="359" t="str">
        <f t="shared" ref="O29:O33" si="13">IFERROR(I29*(K29*N29),"")</f>
        <v/>
      </c>
      <c r="P29" s="516"/>
      <c r="Q29" s="709" t="str">
        <f t="shared" si="6"/>
        <v/>
      </c>
      <c r="R29" s="342" t="str">
        <f t="shared" si="7"/>
        <v/>
      </c>
      <c r="S29" s="343" t="str">
        <f t="shared" si="8"/>
        <v/>
      </c>
      <c r="T29" s="610">
        <f t="shared" si="9"/>
        <v>0</v>
      </c>
      <c r="U29" s="338" t="str">
        <f>IFERROR(T29/B29,"")</f>
        <v/>
      </c>
      <c r="V29" s="612">
        <f>B29-T29</f>
        <v>0</v>
      </c>
      <c r="W29" s="344"/>
      <c r="X29" s="341"/>
      <c r="Y29" s="344"/>
      <c r="Z29" s="341"/>
      <c r="AA29" s="344"/>
      <c r="AB29" s="344"/>
    </row>
    <row r="30" spans="1:37" ht="48.65" hidden="1" customHeight="1" outlineLevel="1" x14ac:dyDescent="0.3">
      <c r="A30" s="362" t="s">
        <v>309</v>
      </c>
      <c r="B30" s="340"/>
      <c r="C30" s="409" t="s">
        <v>305</v>
      </c>
      <c r="D30" s="410" t="s">
        <v>305</v>
      </c>
      <c r="E30" s="402" t="str">
        <f>IF(D30="Investissements collectifs dans l'intérêt de l'ensemble du projet",1,IF(D30="Mise en place d'une branche de production dans l'exploitation agricole",2,IF(D30="ZM: Transformation, stockage et commercialisation en commun de produits agricoles régionaux",3,IF(D30="ZC: Transformation, stockage et commercialisation en commun de produits agricoles régionaux",4,IF(D30="Région de plaine : Transformation, stockage et commercialisation en commun de produits agricoles régionaux",5,IF(D30="Autres mesures dans l'intérêt du projet global (réduction min. 50%)",6,IF(D30="Bâtiments alpestres",7,IF(D30="Construction individuelle d'étables pour animaux consommant des fourrages grossiers",8,IF(D30="Mesures d'améliorations foncières",9,IF(D30="Mesures individuelles contribuant à la protection de l'environnement",10,IF(D30="Mesures individuelles transformation petites entreprises artisanales",11,IF(D30="…veuillez sélectionner la mesure",""))))))))))))</f>
        <v/>
      </c>
      <c r="F30" s="341"/>
      <c r="G30" s="411">
        <f>B30-F30</f>
        <v>0</v>
      </c>
      <c r="H30" s="404" t="str">
        <f>IF(E30=1,IF(#REF!="orienté sur la chaîne de création de valeur",'Dropdown input'!$C$8,IF('Vue d''ensemble'!#REF!="intersectoriel",'Dropdown input'!#REF!, IF(#REF!="sélectionner",""))),IF(E30=2,IF(#REF!="orienté sur la chaîne de création de valeur",'Dropdown input'!$C$9,IF('Vue d''ensemble'!#REF!="intersectoriel",'Dropdown input'!#REF!, IF(#REF!="sélectionner",""))),IF(E30=3,IF(#REF!="orienté sur la chaîne de création de valeur",'Dropdown input'!$C$10,IF('Vue d''ensemble'!#REF!="intersectoriel",'Dropdown input'!#REF!, IF(#REF!="sélectionner",""))),IF(E30=4,IF(#REF!="orienté sur la chaîne de création de valeur",'Dropdown input'!$C$12,IF('Vue d''ensemble'!#REF!="intersectoriel",'Dropdown input'!#REF!, IF(#REF!="sélectionner",""))),IF(E30=5,IF(#REF!="orienté sur la chaîne de création de valeur",'Dropdown input'!$C$13,IF('Vue d''ensemble'!#REF!="intersectoriel",'Dropdown input'!#REF!, IF(#REF!="sélectionner",""))),IF(E30=6,IF(#REF!="orienté sur la chaîne de création de valeur",'Dropdown input'!$C$14,IF('Vue d''ensemble'!#REF!="intersectoriel",'Dropdown input'!#REF!, IF(#REF!="sélectionner",""))),IF(E30=7,IF(#REF!="orienté sur la chaîne de création de valeur",'Dropdown input'!$C$15,IF('Vue d''ensemble'!#REF!="intersectoriel",'Dropdown input'!#REF!, IF(#REF!="sélectionner",""))),IF(E30=8,IF(#REF!="orienté sur la chaîne de création de valeur",'Dropdown input'!$C$16,IF('Vue d''ensemble'!#REF!="intersectoriel",'Dropdown input'!#REF!, IF(#REF!="sélectionner",""))),IF(E30=9,IF(#REF!="orienté sur la chaîne de création de valeur",'Dropdown input'!$C$17,IF('Vue d''ensemble'!#REF!="intersectoriel",'Dropdown input'!#REF!, IF(#REF!="sélectionner",""))),IF(E30=10,IF(#REF!="orienté sur la chaîne de création de valeur",'Dropdown input'!$C$18,IF('Vue d''ensemble'!#REF!="intersectoriel",'Dropdown input'!#REF!, IF(#REF!="sélectionner",""))),IF(E30=11,IF(#REF!="orienté sur la chaîne de création de valeur",'Dropdown input'!$C$19,IF('Vue d''ensemble'!#REF!="intersectoriel",'Dropdown input'!#REF!, IF(#REF!="sélectionner",""))),IF(E30="",""))))))))))))</f>
        <v/>
      </c>
      <c r="I30" s="411" t="str">
        <f t="shared" si="3"/>
        <v/>
      </c>
      <c r="J30" s="405" t="str">
        <f>IF(E30=1,(IF(C30="Plaine",34%,IF(C30="ZC / ZM I",37%,IF(C30="ZM II - IV, région d'estivage",40%,)))),IF(E30=2,(IF(C30="Plaine",34%,IF(C30="ZC / ZM I",37%,IF(C30="ZM II - IV, région d'estivage",40%,)))),IF(E30=3,22%,IF(E30=4,37%,IF(E30=5,34%,IF(E30=6,(IF(C30="Plaine",34%,IF(C30="ZC / ZM I",37%,IF(C30="ZM II - IV, région d'estivage",40%,)))),IF(E30=7,"N/A",IF(E30=8,"N/A",IF(E30=9,"veuillez clarifier spécifiquement avec l'OFAG",IF(E30=10,"N/A",IF(E30=11,22%,IF(E30="",""))))))))))))</f>
        <v/>
      </c>
      <c r="K30" s="561" t="str">
        <f>IF(E30=1,'Dropdown input'!$F$8,IF(E30=2,'Dropdown input'!$F$9,IF(E30=3,'Dropdown input'!$F$10,IF(E30=4,'Dropdown input'!$F$10,IF(E30=5,'Dropdown input'!$F$13,IF(E30=6,'Dropdown input'!$F$14,IF(E30=7,'Dropdown input'!$F$15,IF(E30=8,'Dropdown input'!$F$16,IF(E30=9,"veuillez clarifier spécifiquement avec l'OFAG",IF(E30=11,'Dropdown input'!$F$19,IF(E30=10,'Dropdown input'!$F$18,"")))))))))))</f>
        <v/>
      </c>
      <c r="L30" s="516" t="str">
        <f t="shared" si="11"/>
        <v/>
      </c>
      <c r="M30" s="406" t="str">
        <f>IF(E30=1,IF(#REF!="orienté sur la chaîne de création de valeur",'Dropdown input'!$D$8,IF('Vue d''ensemble'!#REF!="intersectoriel",'Dropdown input'!#REF!,IF(#REF!="sélectionner",""))),IF(E30=2,IF(#REF!="orienté sur la chaîne de création de valeur",'Dropdown input'!$D$9,IF('Vue d''ensemble'!#REF!="intersectoriel",'Dropdown input'!#REF!,IF(#REF!="sélectionner",""))),IF(E30=3,IF(#REF!="orienté sur la chaîne de création de valeur",'Dropdown input'!$D$10,IF('Vue d''ensemble'!#REF!="intersectoriel",'Dropdown input'!#REF!,IF(#REF!="sélectionner",""))),IF(E30=4,IF(#REF!="orienté sur la chaîne de création de valeur",'Dropdown input'!$D$12,IF('Vue d''ensemble'!#REF!="intersectoriel",'Dropdown input'!#REF!,IF(#REF!="sélectionner",""))),IF(E30=5,IF(#REF!="orienté sur la chaîne de création de valeur",'Dropdown input'!$D$13,IF('Vue d''ensemble'!#REF!="intersectoriel",'Dropdown input'!#REF!,IF(#REF!="sélectionner",""))),IF(E30=6,IF(#REF!="orienté sur la chaîne de création de valeur",'Dropdown input'!$D$14,IF('Vue d''ensemble'!#REF!="intersectoriel",'Dropdown input'!#REF!,IF(#REF!="sélectionner",""))),IF(E30=7,IF(#REF!="orienté sur la chaîne de création de valeur",'Dropdown input'!$D$15,IF('Vue d''ensemble'!#REF!="intersectoriel",'Dropdown input'!#REF!,IF(#REF!="sélectionner",""))),IF(E30=8,IF(#REF!="orienté sur la chaîne de création de valeur",'Dropdown input'!$D$16,IF('Vue d''ensemble'!#REF!="intersectoriel",'Dropdown input'!#REF!,IF(#REF!="sélectionner",""))),IF(E30=9,IF(#REF!="orienté sur la chaîne de création de valeur",'Dropdown input'!$D$17,IF(#REF!="intersectoriel",'Dropdown input'!#REF!,IF(#REF!="sélectionner",""))),IF(E30=10,IF(#REF!="orienté sur la chaîne de création de valeur",'Dropdown input'!$D$18,IF('Vue d''ensemble'!#REF!="intersectoriel",'Dropdown input'!#REF!,IF(#REF!="sélectionner",""))),IF(E30=11,IF(#REF!="orienté sur la chaîne de création de valeur",'Dropdown input'!$D$19,IF('Vue d''ensemble'!#REF!="intersectoriel",'Dropdown input'!#REF!,IF(#REF!="sélectionner",""))),IF(E30="",""))))))))))))</f>
        <v/>
      </c>
      <c r="N30" s="407" t="str">
        <f t="shared" si="12"/>
        <v/>
      </c>
      <c r="O30" s="359" t="str">
        <f t="shared" si="13"/>
        <v/>
      </c>
      <c r="P30" s="516"/>
      <c r="Q30" s="520" t="str">
        <f t="shared" si="6"/>
        <v/>
      </c>
      <c r="R30" s="342" t="str">
        <f t="shared" si="7"/>
        <v/>
      </c>
      <c r="S30" s="343" t="str">
        <f t="shared" si="8"/>
        <v/>
      </c>
      <c r="T30" s="610">
        <f t="shared" si="9"/>
        <v>0</v>
      </c>
      <c r="U30" s="338" t="str">
        <f>IFERROR(T30/B30,"")</f>
        <v/>
      </c>
      <c r="V30" s="612">
        <f>B30-T30</f>
        <v>0</v>
      </c>
      <c r="W30" s="344"/>
      <c r="X30" s="341"/>
      <c r="Y30" s="344"/>
      <c r="Z30" s="341"/>
      <c r="AA30" s="344"/>
      <c r="AB30" s="344"/>
    </row>
    <row r="31" spans="1:37" ht="48.65" hidden="1" customHeight="1" outlineLevel="1" x14ac:dyDescent="0.3">
      <c r="A31" s="362" t="s">
        <v>310</v>
      </c>
      <c r="B31" s="340"/>
      <c r="C31" s="409" t="s">
        <v>305</v>
      </c>
      <c r="D31" s="410" t="s">
        <v>305</v>
      </c>
      <c r="E31" s="402" t="str">
        <f>IF(D31="Investissements collectifs dans l'intérêt de l'ensemble du projet",1,IF(D31="Mise en place d'une branche de production dans l'exploitation agricole",2,IF(D31="ZM: Transformation, stockage et commercialisation en commun de produits agricoles régionaux",3,IF(D31="ZC: Transformation, stockage et commercialisation en commun de produits agricoles régionaux",4,IF(D31="Région de plaine : Transformation, stockage et commercialisation en commun de produits agricoles régionaux",5,IF(D31="Autres mesures dans l'intérêt du projet global (réduction min. 50%)",6,IF(D31="Bâtiments alpestres",7,IF(D31="Construction individuelle d'étables pour animaux consommant des fourrages grossiers",8,IF(D31="Mesures d'améliorations foncières",9,IF(D31="Mesures individuelles contribuant à la protection de l'environnement",10,IF(D31="Mesures individuelles transformation petites entreprises artisanales",11,IF(D31="…veuillez sélectionner la mesure",""))))))))))))</f>
        <v/>
      </c>
      <c r="F31" s="341"/>
      <c r="G31" s="411">
        <f>B31-F31</f>
        <v>0</v>
      </c>
      <c r="H31" s="404" t="str">
        <f>IF(E31=1,IF(#REF!="orienté sur la chaîne de création de valeur",'Dropdown input'!$C$8,IF('Vue d''ensemble'!#REF!="intersectoriel",'Dropdown input'!#REF!, IF(#REF!="sélectionner",""))),IF(E31=2,IF(#REF!="orienté sur la chaîne de création de valeur",'Dropdown input'!$C$9,IF('Vue d''ensemble'!#REF!="intersectoriel",'Dropdown input'!#REF!, IF(#REF!="sélectionner",""))),IF(E31=3,IF(#REF!="orienté sur la chaîne de création de valeur",'Dropdown input'!$C$10,IF('Vue d''ensemble'!#REF!="intersectoriel",'Dropdown input'!#REF!, IF(#REF!="sélectionner",""))),IF(E31=4,IF(#REF!="orienté sur la chaîne de création de valeur",'Dropdown input'!$C$12,IF('Vue d''ensemble'!#REF!="intersectoriel",'Dropdown input'!#REF!, IF(#REF!="sélectionner",""))),IF(E31=5,IF(#REF!="orienté sur la chaîne de création de valeur",'Dropdown input'!$C$13,IF('Vue d''ensemble'!#REF!="intersectoriel",'Dropdown input'!#REF!, IF(#REF!="sélectionner",""))),IF(E31=6,IF(#REF!="orienté sur la chaîne de création de valeur",'Dropdown input'!$C$14,IF('Vue d''ensemble'!#REF!="intersectoriel",'Dropdown input'!#REF!, IF(#REF!="sélectionner",""))),IF(E31=7,IF(#REF!="orienté sur la chaîne de création de valeur",'Dropdown input'!$C$15,IF('Vue d''ensemble'!#REF!="intersectoriel",'Dropdown input'!#REF!, IF(#REF!="sélectionner",""))),IF(E31=8,IF(#REF!="orienté sur la chaîne de création de valeur",'Dropdown input'!$C$16,IF('Vue d''ensemble'!#REF!="intersectoriel",'Dropdown input'!#REF!, IF(#REF!="sélectionner",""))),IF(E31=9,IF(#REF!="orienté sur la chaîne de création de valeur",'Dropdown input'!$C$17,IF('Vue d''ensemble'!#REF!="intersectoriel",'Dropdown input'!#REF!, IF(#REF!="sélectionner",""))),IF(E31=10,IF(#REF!="orienté sur la chaîne de création de valeur",'Dropdown input'!$C$18,IF('Vue d''ensemble'!#REF!="intersectoriel",'Dropdown input'!#REF!, IF(#REF!="sélectionner",""))),IF(E31=11,IF(#REF!="orienté sur la chaîne de création de valeur",'Dropdown input'!$C$19,IF('Vue d''ensemble'!#REF!="intersectoriel",'Dropdown input'!#REF!, IF(#REF!="sélectionner",""))),IF(E31="",""))))))))))))</f>
        <v/>
      </c>
      <c r="I31" s="411" t="str">
        <f t="shared" si="3"/>
        <v/>
      </c>
      <c r="J31" s="405" t="str">
        <f>IF(E31=1,(IF(C31="Plaine",34%,IF(C31="ZC / ZM I",37%,IF(C31="ZM II - IV, région d'estivage",40%,)))),IF(E31=2,(IF(C31="Plaine",34%,IF(C31="ZC / ZM I",37%,IF(C31="ZM II - IV, région d'estivage",40%,)))),IF(E31=3,22%,IF(E31=4,37%,IF(E31=5,34%,IF(E31=6,(IF(C31="Plaine",34%,IF(C31="ZC / ZM I",37%,IF(C31="ZM II - IV, région d'estivage",40%,)))),IF(E31=7,"N/A",IF(E31=8,"N/A",IF(E31=9,"veuillez clarifier spécifiquement avec l'OFAG",IF(E31=10,"N/A",IF(E31=11,22%,IF(E31="",""))))))))))))</f>
        <v/>
      </c>
      <c r="K31" s="561" t="str">
        <f>IF(E31=1,'Dropdown input'!$F$8,IF(E31=2,'Dropdown input'!$F$9,IF(E31=3,'Dropdown input'!$F$10,IF(E31=4,'Dropdown input'!$F$10,IF(E31=5,'Dropdown input'!$F$13,IF(E31=6,'Dropdown input'!$F$14,IF(E31=7,'Dropdown input'!$F$15,IF(E31=8,'Dropdown input'!$F$16,IF(E31=9,"veuillez clarifier spécifiquement avec l'OFAG",IF(E31=11,'Dropdown input'!$F$19,IF(E31=10,'Dropdown input'!$F$18,"")))))))))))</f>
        <v/>
      </c>
      <c r="L31" s="516" t="str">
        <f t="shared" si="11"/>
        <v/>
      </c>
      <c r="M31" s="406" t="str">
        <f>IF(E31=1,IF(#REF!="orienté sur la chaîne de création de valeur",'Dropdown input'!$D$8,IF('Vue d''ensemble'!#REF!="intersectoriel",'Dropdown input'!#REF!,IF(#REF!="sélectionner",""))),IF(E31=2,IF(#REF!="orienté sur la chaîne de création de valeur",'Dropdown input'!$D$9,IF('Vue d''ensemble'!#REF!="intersectoriel",'Dropdown input'!#REF!,IF(#REF!="sélectionner",""))),IF(E31=3,IF(#REF!="orienté sur la chaîne de création de valeur",'Dropdown input'!$D$10,IF('Vue d''ensemble'!#REF!="intersectoriel",'Dropdown input'!#REF!,IF(#REF!="sélectionner",""))),IF(E31=4,IF(#REF!="orienté sur la chaîne de création de valeur",'Dropdown input'!$D$12,IF('Vue d''ensemble'!#REF!="intersectoriel",'Dropdown input'!#REF!,IF(#REF!="sélectionner",""))),IF(E31=5,IF(#REF!="orienté sur la chaîne de création de valeur",'Dropdown input'!$D$13,IF('Vue d''ensemble'!#REF!="intersectoriel",'Dropdown input'!#REF!,IF(#REF!="sélectionner",""))),IF(E31=6,IF(#REF!="orienté sur la chaîne de création de valeur",'Dropdown input'!$D$14,IF('Vue d''ensemble'!#REF!="intersectoriel",'Dropdown input'!#REF!,IF(#REF!="sélectionner",""))),IF(E31=7,IF(#REF!="orienté sur la chaîne de création de valeur",'Dropdown input'!$D$15,IF('Vue d''ensemble'!#REF!="intersectoriel",'Dropdown input'!#REF!,IF(#REF!="sélectionner",""))),IF(E31=8,IF(#REF!="orienté sur la chaîne de création de valeur",'Dropdown input'!$D$16,IF('Vue d''ensemble'!#REF!="intersectoriel",'Dropdown input'!#REF!,IF(#REF!="sélectionner",""))),IF(E31=9,IF(#REF!="orienté sur la chaîne de création de valeur",'Dropdown input'!$D$17,IF(#REF!="intersectoriel",'Dropdown input'!#REF!,IF(#REF!="sélectionner",""))),IF(E31=10,IF(#REF!="orienté sur la chaîne de création de valeur",'Dropdown input'!$D$18,IF('Vue d''ensemble'!#REF!="intersectoriel",'Dropdown input'!#REF!,IF(#REF!="sélectionner",""))),IF(E31=11,IF(#REF!="orienté sur la chaîne de création de valeur",'Dropdown input'!$D$19,IF('Vue d''ensemble'!#REF!="intersectoriel",'Dropdown input'!#REF!,IF(#REF!="sélectionner",""))),IF(E31="",""))))))))))))</f>
        <v/>
      </c>
      <c r="N31" s="407" t="str">
        <f t="shared" si="12"/>
        <v/>
      </c>
      <c r="O31" s="359" t="str">
        <f t="shared" si="13"/>
        <v/>
      </c>
      <c r="P31" s="516"/>
      <c r="Q31" s="520" t="str">
        <f t="shared" si="6"/>
        <v/>
      </c>
      <c r="R31" s="342" t="str">
        <f t="shared" si="7"/>
        <v/>
      </c>
      <c r="S31" s="343" t="str">
        <f t="shared" si="8"/>
        <v/>
      </c>
      <c r="T31" s="610">
        <f t="shared" si="9"/>
        <v>0</v>
      </c>
      <c r="U31" s="338" t="str">
        <f>IFERROR(T31/B31,"")</f>
        <v/>
      </c>
      <c r="V31" s="612">
        <f>B31-T31</f>
        <v>0</v>
      </c>
      <c r="W31" s="344"/>
      <c r="X31" s="341"/>
      <c r="Y31" s="344"/>
      <c r="Z31" s="341"/>
      <c r="AA31" s="344"/>
      <c r="AB31" s="344"/>
    </row>
    <row r="32" spans="1:37" ht="48.65" hidden="1" customHeight="1" outlineLevel="1" x14ac:dyDescent="0.3">
      <c r="A32" s="363" t="s">
        <v>311</v>
      </c>
      <c r="B32" s="345"/>
      <c r="C32" s="412" t="s">
        <v>305</v>
      </c>
      <c r="D32" s="413" t="s">
        <v>305</v>
      </c>
      <c r="E32" s="402" t="str">
        <f>IF(D32="Investissements collectifs dans l'intérêt de l'ensemble du projet",1,IF(D32="Mise en place d'une branche de production dans l'exploitation agricole",2,IF(D32="ZM: Transformation, stockage et commercialisation en commun de produits agricoles régionaux",3,IF(D32="ZC: Transformation, stockage et commercialisation en commun de produits agricoles régionaux",4,IF(D32="Région de plaine : Transformation, stockage et commercialisation en commun de produits agricoles régionaux",5,IF(D32="Autres mesures dans l'intérêt du projet global (réduction min. 50%)",6,IF(D32="Bâtiments alpestres",7,IF(D32="Construction individuelle d'étables pour animaux consommant des fourrages grossiers",8,IF(D32="Mesures d'améliorations foncières",9,IF(D32="Mesures individuelles contribuant à la protection de l'environnement",10,IF(D32="Mesures individuelles transformation petites entreprises artisanales",11,IF(D32="…veuillez sélectionner la mesure",""))))))))))))</f>
        <v/>
      </c>
      <c r="F32" s="346"/>
      <c r="G32" s="411">
        <f>B32-F32</f>
        <v>0</v>
      </c>
      <c r="H32" s="404" t="str">
        <f>IF(E32=1,IF(#REF!="orienté sur la chaîne de création de valeur",'Dropdown input'!$C$8,IF('Vue d''ensemble'!#REF!="intersectoriel",'Dropdown input'!#REF!, IF(#REF!="sélectionner",""))),IF(E32=2,IF(#REF!="orienté sur la chaîne de création de valeur",'Dropdown input'!$C$9,IF('Vue d''ensemble'!#REF!="intersectoriel",'Dropdown input'!#REF!, IF(#REF!="sélectionner",""))),IF(E32=3,IF(#REF!="orienté sur la chaîne de création de valeur",'Dropdown input'!$C$10,IF('Vue d''ensemble'!#REF!="intersectoriel",'Dropdown input'!#REF!, IF(#REF!="sélectionner",""))),IF(E32=4,IF(#REF!="orienté sur la chaîne de création de valeur",'Dropdown input'!$C$12,IF('Vue d''ensemble'!#REF!="intersectoriel",'Dropdown input'!#REF!, IF(#REF!="sélectionner",""))),IF(E32=5,IF(#REF!="orienté sur la chaîne de création de valeur",'Dropdown input'!$C$13,IF('Vue d''ensemble'!#REF!="intersectoriel",'Dropdown input'!#REF!, IF(#REF!="sélectionner",""))),IF(E32=6,IF(#REF!="orienté sur la chaîne de création de valeur",'Dropdown input'!$C$14,IF('Vue d''ensemble'!#REF!="intersectoriel",'Dropdown input'!#REF!, IF(#REF!="sélectionner",""))),IF(E32=7,IF(#REF!="orienté sur la chaîne de création de valeur",'Dropdown input'!$C$15,IF('Vue d''ensemble'!#REF!="intersectoriel",'Dropdown input'!#REF!, IF(#REF!="sélectionner",""))),IF(E32=8,IF(#REF!="orienté sur la chaîne de création de valeur",'Dropdown input'!$C$16,IF('Vue d''ensemble'!#REF!="intersectoriel",'Dropdown input'!#REF!, IF(#REF!="sélectionner",""))),IF(E32=9,IF(#REF!="orienté sur la chaîne de création de valeur",'Dropdown input'!$C$17,IF('Vue d''ensemble'!#REF!="intersectoriel",'Dropdown input'!#REF!, IF(#REF!="sélectionner",""))),IF(E32=10,IF(#REF!="orienté sur la chaîne de création de valeur",'Dropdown input'!$C$18,IF('Vue d''ensemble'!#REF!="intersectoriel",'Dropdown input'!#REF!, IF(#REF!="sélectionner",""))),IF(E32=11,IF(#REF!="orienté sur la chaîne de création de valeur",'Dropdown input'!$C$19,IF('Vue d''ensemble'!#REF!="intersectoriel",'Dropdown input'!#REF!, IF(#REF!="sélectionner",""))),IF(E32="",""))))))))))))</f>
        <v/>
      </c>
      <c r="I32" s="414" t="str">
        <f t="shared" si="3"/>
        <v/>
      </c>
      <c r="J32" s="405" t="str">
        <f>IF(E32=1,(IF(C32="Plaine",34%,IF(C32="ZC / ZM I",37%,IF(C32="ZM II - IV, région d'estivage",40%,)))),IF(E32=2,(IF(C32="Plaine",34%,IF(C32="ZC / ZM I",37%,IF(C32="ZM II - IV, région d'estivage",40%,)))),IF(E32=3,22%,IF(E32=4,37%,IF(E32=5,34%,IF(E32=6,(IF(C32="Plaine",34%,IF(C32="ZC / ZM I",37%,IF(C32="ZM II - IV, région d'estivage",40%,)))),IF(E32=7,"N/A",IF(E32=8,"N/A",IF(E32=9,"veuillez clarifier spécifiquement avec l'OFAG",IF(E32=10,"N/A",IF(E32=11,22%,IF(E32="",""))))))))))))</f>
        <v/>
      </c>
      <c r="K32" s="561" t="str">
        <f>IF(E32=1,'Dropdown input'!$F$8,IF(E32=2,'Dropdown input'!$F$9,IF(E32=3,'Dropdown input'!$F$10,IF(E32=4,'Dropdown input'!$F$10,IF(E32=5,'Dropdown input'!$F$13,IF(E32=6,'Dropdown input'!$F$14,IF(E32=7,'Dropdown input'!$F$15,IF(E32=8,'Dropdown input'!$F$16,IF(E32=9,"veuillez clarifier spécifiquement avec l'OFAG",IF(E32=11,'Dropdown input'!$F$19,IF(E32=10,'Dropdown input'!$F$18,"")))))))))))</f>
        <v/>
      </c>
      <c r="L32" s="516" t="str">
        <f t="shared" si="11"/>
        <v/>
      </c>
      <c r="M32" s="406" t="str">
        <f>IF(E32=1,IF(#REF!="orienté sur la chaîne de création de valeur",'Dropdown input'!$D$8,IF('Vue d''ensemble'!#REF!="intersectoriel",'Dropdown input'!#REF!,IF(#REF!="sélectionner",""))),IF(E32=2,IF(#REF!="orienté sur la chaîne de création de valeur",'Dropdown input'!$D$9,IF('Vue d''ensemble'!#REF!="intersectoriel",'Dropdown input'!#REF!,IF(#REF!="sélectionner",""))),IF(E32=3,IF(#REF!="orienté sur la chaîne de création de valeur",'Dropdown input'!$D$10,IF('Vue d''ensemble'!#REF!="intersectoriel",'Dropdown input'!#REF!,IF(#REF!="sélectionner",""))),IF(E32=4,IF(#REF!="orienté sur la chaîne de création de valeur",'Dropdown input'!$D$12,IF('Vue d''ensemble'!#REF!="intersectoriel",'Dropdown input'!#REF!,IF(#REF!="sélectionner",""))),IF(E32=5,IF(#REF!="orienté sur la chaîne de création de valeur",'Dropdown input'!$D$13,IF('Vue d''ensemble'!#REF!="intersectoriel",'Dropdown input'!#REF!,IF(#REF!="sélectionner",""))),IF(E32=6,IF(#REF!="orienté sur la chaîne de création de valeur",'Dropdown input'!$D$14,IF('Vue d''ensemble'!#REF!="intersectoriel",'Dropdown input'!#REF!,IF(#REF!="sélectionner",""))),IF(E32=7,IF(#REF!="orienté sur la chaîne de création de valeur",'Dropdown input'!$D$15,IF('Vue d''ensemble'!#REF!="intersectoriel",'Dropdown input'!#REF!,IF(#REF!="sélectionner",""))),IF(E32=8,IF(#REF!="orienté sur la chaîne de création de valeur",'Dropdown input'!$D$16,IF('Vue d''ensemble'!#REF!="intersectoriel",'Dropdown input'!#REF!,IF(#REF!="sélectionner",""))),IF(E32=9,IF(#REF!="orienté sur la chaîne de création de valeur",'Dropdown input'!$D$17,IF(#REF!="intersectoriel",'Dropdown input'!#REF!,IF(#REF!="sélectionner",""))),IF(E32=10,IF(#REF!="orienté sur la chaîne de création de valeur",'Dropdown input'!$D$18,IF('Vue d''ensemble'!#REF!="intersectoriel",'Dropdown input'!#REF!,IF(#REF!="sélectionner",""))),IF(E32=11,IF(#REF!="orienté sur la chaîne de création de valeur",'Dropdown input'!$D$19,IF('Vue d''ensemble'!#REF!="intersectoriel",'Dropdown input'!#REF!,IF(#REF!="sélectionner",""))),IF(E32="",""))))))))))))</f>
        <v/>
      </c>
      <c r="N32" s="407" t="str">
        <f t="shared" si="12"/>
        <v/>
      </c>
      <c r="O32" s="359" t="str">
        <f t="shared" si="13"/>
        <v/>
      </c>
      <c r="P32" s="516"/>
      <c r="Q32" s="520" t="str">
        <f t="shared" si="6"/>
        <v/>
      </c>
      <c r="R32" s="342" t="str">
        <f t="shared" si="7"/>
        <v/>
      </c>
      <c r="S32" s="347" t="str">
        <f t="shared" si="8"/>
        <v/>
      </c>
      <c r="T32" s="610">
        <f t="shared" si="9"/>
        <v>0</v>
      </c>
      <c r="U32" s="348" t="str">
        <f>IFERROR(T32/B32,"")</f>
        <v/>
      </c>
      <c r="V32" s="612">
        <f>B32-T32</f>
        <v>0</v>
      </c>
      <c r="W32" s="349"/>
      <c r="X32" s="346"/>
      <c r="Y32" s="349"/>
      <c r="Z32" s="346"/>
      <c r="AA32" s="349"/>
      <c r="AB32" s="349"/>
    </row>
    <row r="33" spans="1:29" ht="48.65" hidden="1" customHeight="1" outlineLevel="1" x14ac:dyDescent="0.3">
      <c r="A33" s="364" t="s">
        <v>358</v>
      </c>
      <c r="B33" s="350"/>
      <c r="C33" s="415" t="s">
        <v>305</v>
      </c>
      <c r="D33" s="416" t="s">
        <v>305</v>
      </c>
      <c r="E33" s="402" t="str">
        <f>IF(D33="Investissements collectifs dans l'intérêt de l'ensemble du projet",1,IF(D33="Mise en place d'une branche de production dans l'exploitation agricole",2,IF(D33="ZM: Transformation, stockage et commercialisation en commun de produits agricoles régionaux",3,IF(D33="ZC: Transformation, stockage et commercialisation en commun de produits agricoles régionaux",4,IF(D33="Région de plaine : Transformation, stockage et commercialisation en commun de produits agricoles régionaux",5,IF(D33="Autres mesures dans l'intérêt du projet global (réduction min. 50%)",6,IF(D33="Bâtiments alpestres",7,IF(D33="Construction individuelle d'étables pour animaux consommant des fourrages grossiers",8,IF(D33="Mesures d'améliorations foncières",9,IF(D33="Mesures individuelles contribuant à la protection de l'environnement",10,IF(D33="Mesures individuelles transformation petites entreprises artisanales",11,IF(D33="…veuillez sélectionner la mesure",""))))))))))))</f>
        <v/>
      </c>
      <c r="F33" s="351"/>
      <c r="G33" s="411">
        <f>B33-F33</f>
        <v>0</v>
      </c>
      <c r="H33" s="404" t="str">
        <f>IF(E33=1,IF(#REF!="orienté sur la chaîne de création de valeur",'Dropdown input'!$C$8,IF('Vue d''ensemble'!#REF!="intersectoriel",'Dropdown input'!#REF!, IF(#REF!="sélectionner",""))),IF(E33=2,IF(#REF!="orienté sur la chaîne de création de valeur",'Dropdown input'!$C$9,IF('Vue d''ensemble'!#REF!="intersectoriel",'Dropdown input'!#REF!, IF(#REF!="sélectionner",""))),IF(E33=3,IF(#REF!="orienté sur la chaîne de création de valeur",'Dropdown input'!$C$10,IF('Vue d''ensemble'!#REF!="intersectoriel",'Dropdown input'!#REF!, IF(#REF!="sélectionner",""))),IF(E33=4,IF(#REF!="orienté sur la chaîne de création de valeur",'Dropdown input'!$C$12,IF('Vue d''ensemble'!#REF!="intersectoriel",'Dropdown input'!#REF!, IF(#REF!="sélectionner",""))),IF(E33=5,IF(#REF!="orienté sur la chaîne de création de valeur",'Dropdown input'!$C$13,IF('Vue d''ensemble'!#REF!="intersectoriel",'Dropdown input'!#REF!, IF(#REF!="sélectionner",""))),IF(E33=6,IF(#REF!="orienté sur la chaîne de création de valeur",'Dropdown input'!$C$14,IF('Vue d''ensemble'!#REF!="intersectoriel",'Dropdown input'!#REF!, IF(#REF!="sélectionner",""))),IF(E33=7,IF(#REF!="orienté sur la chaîne de création de valeur",'Dropdown input'!$C$15,IF('Vue d''ensemble'!#REF!="intersectoriel",'Dropdown input'!#REF!, IF(#REF!="sélectionner",""))),IF(E33=8,IF(#REF!="orienté sur la chaîne de création de valeur",'Dropdown input'!$C$16,IF('Vue d''ensemble'!#REF!="intersectoriel",'Dropdown input'!#REF!, IF(#REF!="sélectionner",""))),IF(E33=9,IF(#REF!="orienté sur la chaîne de création de valeur",'Dropdown input'!$C$17,IF('Vue d''ensemble'!#REF!="intersectoriel",'Dropdown input'!#REF!, IF(#REF!="sélectionner",""))),IF(E33=10,IF(#REF!="orienté sur la chaîne de création de valeur",'Dropdown input'!$C$18,IF('Vue d''ensemble'!#REF!="intersectoriel",'Dropdown input'!#REF!, IF(#REF!="sélectionner",""))),IF(E33=11,IF(#REF!="orienté sur la chaîne de création de valeur",'Dropdown input'!$C$19,IF('Vue d''ensemble'!#REF!="intersectoriel",'Dropdown input'!#REF!, IF(#REF!="sélectionner",""))),IF(E33="",""))))))))))))</f>
        <v/>
      </c>
      <c r="I33" s="417" t="str">
        <f t="shared" ref="I33" si="14">IFERROR(G33-G33*H33,"")</f>
        <v/>
      </c>
      <c r="J33" s="405" t="str">
        <f>IF(E33=1,(IF(C33="Plaine",34%,IF(C33="ZC / ZM I",37%,IF(C33="ZM II - IV, région d'estivage",40%,)))),IF(E33=2,(IF(C33="Plaine",34%,IF(C33="ZC / ZM I",37%,IF(C33="ZM II - IV, région d'estivage",40%,)))),IF(E33=3,22%,IF(E33=4,37%,IF(E33=5,34%,IF(E33=6,(IF(C33="Plaine",34%,IF(C33="ZC / ZM I",37%,IF(C33="ZM II - IV, région d'estivage",40%,)))),IF(E33=7,"N/A",IF(E33=8,"N/A",IF(E33=9,"veuillez clarifier spécifiquement avec l'OFAG",IF(E33=10,"N/A",IF(E33=11,22%,IF(E33="",""))))))))))))</f>
        <v/>
      </c>
      <c r="K33" s="561" t="str">
        <f>IF(E33=1,'Dropdown input'!$F$8,IF(E33=2,'Dropdown input'!$F$9,IF(E33=3,'Dropdown input'!$F$10,IF(E33=4,'Dropdown input'!$F$10,IF(E33=5,'Dropdown input'!$F$13,IF(E33=6,'Dropdown input'!$F$14,IF(E33=7,'Dropdown input'!$F$15,IF(E33=8,'Dropdown input'!$F$16,IF(E33=9,"veuillez clarifier spécifiquement avec l'OFAG",IF(E33=11,'Dropdown input'!$F$19,IF(E33=10,'Dropdown input'!$F$18,"")))))))))))</f>
        <v/>
      </c>
      <c r="L33" s="517" t="str">
        <f t="shared" si="11"/>
        <v/>
      </c>
      <c r="M33" s="406" t="str">
        <f>IF(E33=1,IF(#REF!="orienté sur la chaîne de création de valeur",'Dropdown input'!$D$8,IF('Vue d''ensemble'!#REF!="intersectoriel",'Dropdown input'!#REF!,IF(#REF!="sélectionner",""))),IF(E33=2,IF(#REF!="orienté sur la chaîne de création de valeur",'Dropdown input'!$D$9,IF('Vue d''ensemble'!#REF!="intersectoriel",'Dropdown input'!#REF!,IF(#REF!="sélectionner",""))),IF(E33=3,IF(#REF!="orienté sur la chaîne de création de valeur",'Dropdown input'!$D$10,IF('Vue d''ensemble'!#REF!="intersectoriel",'Dropdown input'!#REF!,IF(#REF!="sélectionner",""))),IF(E33=4,IF(#REF!="orienté sur la chaîne de création de valeur",'Dropdown input'!$D$12,IF('Vue d''ensemble'!#REF!="intersectoriel",'Dropdown input'!#REF!,IF(#REF!="sélectionner",""))),IF(E33=5,IF(#REF!="orienté sur la chaîne de création de valeur",'Dropdown input'!$D$13,IF('Vue d''ensemble'!#REF!="intersectoriel",'Dropdown input'!#REF!,IF(#REF!="sélectionner",""))),IF(E33=6,IF(#REF!="orienté sur la chaîne de création de valeur",'Dropdown input'!$D$14,IF('Vue d''ensemble'!#REF!="intersectoriel",'Dropdown input'!#REF!,IF(#REF!="sélectionner",""))),IF(E33=7,IF(#REF!="orienté sur la chaîne de création de valeur",'Dropdown input'!$D$15,IF('Vue d''ensemble'!#REF!="intersectoriel",'Dropdown input'!#REF!,IF(#REF!="sélectionner",""))),IF(E33=8,IF(#REF!="orienté sur la chaîne de création de valeur",'Dropdown input'!$D$16,IF('Vue d''ensemble'!#REF!="intersectoriel",'Dropdown input'!#REF!,IF(#REF!="sélectionner",""))),IF(E33=9,IF(#REF!="orienté sur la chaîne de création de valeur",'Dropdown input'!$D$17,IF(#REF!="intersectoriel",'Dropdown input'!#REF!,IF(#REF!="sélectionner",""))),IF(E33=10,IF(#REF!="orienté sur la chaîne de création de valeur",'Dropdown input'!$D$18,IF('Vue d''ensemble'!#REF!="intersectoriel",'Dropdown input'!#REF!,IF(#REF!="sélectionner",""))),IF(E33=11,IF(#REF!="orienté sur la chaîne de création de valeur",'Dropdown input'!$D$19,IF('Vue d''ensemble'!#REF!="intersectoriel",'Dropdown input'!#REF!,IF(#REF!="sélectionner",""))),IF(E33="",""))))))))))))</f>
        <v/>
      </c>
      <c r="N33" s="407" t="str">
        <f t="shared" si="12"/>
        <v/>
      </c>
      <c r="O33" s="562" t="str">
        <f t="shared" si="13"/>
        <v/>
      </c>
      <c r="P33" s="517"/>
      <c r="Q33" s="521" t="str">
        <f t="shared" si="6"/>
        <v/>
      </c>
      <c r="R33" s="352" t="str">
        <f t="shared" si="7"/>
        <v/>
      </c>
      <c r="S33" s="353" t="str">
        <f t="shared" si="8"/>
        <v/>
      </c>
      <c r="T33" s="610">
        <f t="shared" si="9"/>
        <v>0</v>
      </c>
      <c r="U33" s="354" t="str">
        <f>IFERROR(T33/B33,"")</f>
        <v/>
      </c>
      <c r="V33" s="613">
        <f>B33-T33</f>
        <v>0</v>
      </c>
      <c r="W33" s="355"/>
      <c r="X33" s="351"/>
      <c r="Y33" s="355"/>
      <c r="Z33" s="351"/>
      <c r="AA33" s="355"/>
      <c r="AB33" s="355"/>
    </row>
    <row r="34" spans="1:29" ht="16" collapsed="1" thickBot="1" x14ac:dyDescent="0.35">
      <c r="A34" s="365" t="s">
        <v>312</v>
      </c>
      <c r="B34" s="356"/>
      <c r="C34" s="356"/>
      <c r="D34" s="356"/>
      <c r="E34" s="708">
        <f>SUM(E25:E33)</f>
        <v>0</v>
      </c>
      <c r="F34" s="708">
        <f t="shared" ref="F34:G34" si="15">SUM(F25:F33)</f>
        <v>0</v>
      </c>
      <c r="G34" s="708">
        <f t="shared" si="15"/>
        <v>0</v>
      </c>
      <c r="H34" s="356"/>
      <c r="I34" s="356"/>
      <c r="J34" s="356"/>
      <c r="K34" s="356"/>
      <c r="L34" s="708">
        <f>IFERROR(SUM(L25:L33),"")</f>
        <v>0</v>
      </c>
      <c r="M34" s="356"/>
      <c r="N34" s="356"/>
      <c r="O34" s="708">
        <f>IFERROR(SUM(O25:O33),"")</f>
        <v>0</v>
      </c>
      <c r="P34" s="708">
        <f>IFERROR(SUM(P25:P33),"")</f>
        <v>0</v>
      </c>
      <c r="Q34" s="356"/>
      <c r="R34" s="356"/>
      <c r="S34" s="708">
        <f>IFERROR(SUM(S25:S33),"")</f>
        <v>0</v>
      </c>
      <c r="T34" s="708">
        <f>IFERROR(SUM(T25:T33),0)</f>
        <v>0</v>
      </c>
      <c r="U34" s="708"/>
      <c r="V34" s="708">
        <f t="shared" ref="V34" si="16">IFERROR(SUM(V25:V33),"")</f>
        <v>0</v>
      </c>
      <c r="W34" s="357"/>
      <c r="X34" s="357"/>
      <c r="Y34" s="357"/>
      <c r="Z34" s="357"/>
      <c r="AA34" s="357"/>
      <c r="AB34" s="357"/>
    </row>
    <row r="35" spans="1:29" s="426" customFormat="1" ht="16.5" thickTop="1" x14ac:dyDescent="0.35">
      <c r="R35" s="427"/>
    </row>
    <row r="36" spans="1:29" s="215" customFormat="1" ht="20.149999999999999" customHeight="1" x14ac:dyDescent="0.3">
      <c r="A36" s="367" t="s">
        <v>501</v>
      </c>
      <c r="B36" s="213"/>
      <c r="C36" s="213"/>
      <c r="D36" s="213"/>
      <c r="E36" s="213"/>
      <c r="F36" s="213"/>
      <c r="G36" s="213"/>
      <c r="H36" s="213"/>
      <c r="I36" s="213"/>
      <c r="J36" s="213"/>
      <c r="K36" s="213"/>
      <c r="L36" s="213"/>
      <c r="M36" s="213"/>
      <c r="N36" s="213"/>
      <c r="O36" s="213"/>
      <c r="P36" s="213"/>
      <c r="Q36" s="213"/>
      <c r="R36" s="213"/>
      <c r="S36" s="213"/>
      <c r="T36" s="213"/>
      <c r="U36" s="213"/>
      <c r="V36" s="213"/>
      <c r="W36" s="214"/>
      <c r="X36" s="213"/>
      <c r="Y36" s="213"/>
      <c r="Z36" s="213"/>
      <c r="AA36" s="213"/>
      <c r="AB36" s="213"/>
      <c r="AC36" s="213"/>
    </row>
    <row r="37" spans="1:29" s="2" customFormat="1" ht="89.25" customHeight="1" x14ac:dyDescent="0.3">
      <c r="A37" s="712" t="s">
        <v>502</v>
      </c>
      <c r="B37" s="712"/>
      <c r="C37" s="712"/>
      <c r="D37" s="712"/>
      <c r="E37" s="712"/>
      <c r="F37" s="712"/>
      <c r="G37" s="712"/>
      <c r="H37" s="712"/>
      <c r="I37" s="712"/>
      <c r="J37" s="318"/>
      <c r="K37" s="318"/>
      <c r="L37" s="318"/>
      <c r="M37" s="318"/>
      <c r="N37" s="318"/>
      <c r="O37" s="318"/>
      <c r="P37" s="318"/>
      <c r="Q37" s="318"/>
      <c r="R37" s="318"/>
      <c r="S37" s="318"/>
      <c r="T37" s="318"/>
      <c r="U37" s="318"/>
      <c r="V37" s="318"/>
      <c r="W37" s="318"/>
      <c r="X37" s="317"/>
      <c r="Y37" s="317"/>
      <c r="Z37" s="317"/>
      <c r="AA37" s="317"/>
      <c r="AB37" s="317"/>
      <c r="AC37" s="317"/>
    </row>
    <row r="38" spans="1:29" x14ac:dyDescent="0.3">
      <c r="W38" s="4"/>
      <c r="Y38" s="14"/>
    </row>
    <row r="39" spans="1:29" x14ac:dyDescent="0.3">
      <c r="A39" s="537" t="s">
        <v>289</v>
      </c>
      <c r="B39" s="538"/>
      <c r="Y39" s="14"/>
      <c r="Z39" s="4"/>
    </row>
    <row r="40" spans="1:29" ht="31" x14ac:dyDescent="0.3">
      <c r="A40" s="323" t="s">
        <v>293</v>
      </c>
      <c r="B40" s="538"/>
      <c r="Y40" s="14"/>
      <c r="Z40" s="4"/>
    </row>
    <row r="41" spans="1:29" x14ac:dyDescent="0.3">
      <c r="Q41" s="4"/>
      <c r="Y41" s="14"/>
    </row>
    <row r="42" spans="1:29" s="4" customFormat="1" ht="98.25" customHeight="1" outlineLevel="1" x14ac:dyDescent="0.3">
      <c r="A42" s="325" t="s">
        <v>486</v>
      </c>
      <c r="B42" s="325" t="s">
        <v>428</v>
      </c>
      <c r="C42" s="324" t="s">
        <v>294</v>
      </c>
      <c r="D42" s="518" t="s">
        <v>393</v>
      </c>
      <c r="E42" s="331" t="s">
        <v>297</v>
      </c>
      <c r="F42" s="332" t="s">
        <v>394</v>
      </c>
      <c r="G42" s="332" t="s">
        <v>298</v>
      </c>
      <c r="H42" s="528" t="s">
        <v>408</v>
      </c>
      <c r="I42" s="668" t="s">
        <v>407</v>
      </c>
      <c r="J42" s="332" t="s">
        <v>299</v>
      </c>
      <c r="K42" s="332" t="s">
        <v>287</v>
      </c>
      <c r="L42" s="523" t="s">
        <v>397</v>
      </c>
      <c r="M42" s="668" t="s">
        <v>300</v>
      </c>
      <c r="N42" s="323" t="s">
        <v>301</v>
      </c>
      <c r="O42" s="523" t="s">
        <v>302</v>
      </c>
      <c r="P42" s="528" t="s">
        <v>291</v>
      </c>
      <c r="Q42" s="529" t="s">
        <v>292</v>
      </c>
    </row>
    <row r="43" spans="1:29" ht="65.5" customHeight="1" outlineLevel="1" x14ac:dyDescent="0.3">
      <c r="A43" s="535" t="s">
        <v>487</v>
      </c>
      <c r="B43" s="531">
        <v>0</v>
      </c>
      <c r="C43" s="657">
        <f>($B$39-$B$40)*B43</f>
        <v>0</v>
      </c>
      <c r="D43" s="658">
        <f>IF($B$43&gt;0.79, 26%, IF($B$44&gt;0.79, 23%, IF($B$45&gt;0.79, 10%, 26%)))</f>
        <v>0.26</v>
      </c>
      <c r="E43" s="406">
        <v>0.5</v>
      </c>
      <c r="F43" s="407">
        <f>IFERROR(D43+D43*E43,"")</f>
        <v>0.39</v>
      </c>
      <c r="G43" s="407" t="str">
        <f>IF(P43='Dropdown input'!$B$10,'Dropdown input'!$F$10,IF(P43='Dropdown input'!$B$11,'Dropdown input'!$F$11,IF(P43='Dropdown input'!$B$12,'Dropdown input'!$F$12,IF(P43='Dropdown input'!$B$13,'Dropdown input'!$F$13,IF(P43='Dropdown input'!$B$14,'Dropdown input'!$F$14,IF(P43='Dropdown input'!$B$15,'Dropdown input'!$F$15,""))))))</f>
        <v/>
      </c>
      <c r="H43" s="656" t="e">
        <f>C43*(D43*G43+D43*G43*E43)</f>
        <v>#VALUE!</v>
      </c>
      <c r="I43" s="669"/>
      <c r="J43" s="667" t="e">
        <f>IF(H43*C43&gt;0, H43/C43,0)</f>
        <v>#VALUE!</v>
      </c>
      <c r="K43" s="661">
        <f>IFERROR(IF(J43&lt;G43*F43,J43/KG43,F43),0)</f>
        <v>0</v>
      </c>
      <c r="L43" s="662">
        <f>K43*C43</f>
        <v>0</v>
      </c>
      <c r="M43" s="610" t="str">
        <f>IFERROR(H43+L43+I43,"")</f>
        <v/>
      </c>
      <c r="N43" s="663" t="str">
        <f>IFERROR(M43/$B$39,"")</f>
        <v/>
      </c>
      <c r="O43" s="664"/>
      <c r="P43" s="399" t="str">
        <f>IF(COUNTIF(C25:C33,"Région de plaine et ZC: Transformation, stockage et commercialisation en commun de produits agricoles régionaux (mesure individuelle)")&gt;0,"Région de plaine et ZC: Transformation, stockage et commercialisation en commun de produits agricoles régionaux (mesure individuelle)",
IF(COUNTIF(C25:C33,"Région de plaine et ZC: Transformation, stockage et commercialisation en commun de produits agricoles régionaux (mesure collective)")&gt;0,"Région de plaine et ZC: Transformation, stockage et commercialisation en commun de produits agricoles régionaux (mesure collective)",
IF(COUNTIF(C25:C33,"ZM I: Transformation, stockage et commercialisation en commun de produits agricoles régionaux (mesure individuelle)")&gt;0,"ZM I: Transformation, stockage et commercialisation en commun de produits agricoles régionaux (mesure individuelle)",
IF(COUNTIF(C25:C33,"ZM I: Transformation, stockage et commercialisation en commun de produits agricoles régionaux (mesure collective)")&gt;0,"ZM I: Transformation, stockage et commercialisation en commun de produits agricoles régionaux (mesure collective)",
IF(COUNTIF(C25:C33,"ZM II-IV: Transformation, stockage et commercialisation en commun de produits agricoles régionaux (mesure individuelle)")&gt;0,"ZM II-IV: Transformation, stockage et commercialisation en commun de produits agricoles régionaux (mesure individuelle)",
IF(COUNTIF(C25:C33,"ZM II-IV: Transformation, stockage et commercialisation en commun de produits agricoles régionaux (mesure collective)")&gt;0,"ZM II-IV: Transformation, stockage et commercialisation en commun de produits agricoles régionaux (mesure collective)",""))))))</f>
        <v/>
      </c>
      <c r="Q43" s="702" t="str">
        <f>IF(P43='Dropdown input'!$B$10,'Dropdown input'!$A$10,IF(P43='Dropdown input'!$B$11,'Dropdown input'!$A$11,IF(P43='Dropdown input'!$B$12,'Dropdown input'!$A$12,IF(P43='Dropdown input'!$B$13,'Dropdown input'!$A$13,IF(P43='Dropdown input'!$B$14,'Dropdown input'!$A$14,IF(P43='Dropdown input'!$B$15,'Dropdown input'!$A$15,""))))))</f>
        <v/>
      </c>
      <c r="Y43" s="14"/>
    </row>
    <row r="44" spans="1:29" ht="65.5" customHeight="1" outlineLevel="1" x14ac:dyDescent="0.3">
      <c r="A44" s="654" t="s">
        <v>488</v>
      </c>
      <c r="B44" s="655">
        <v>0</v>
      </c>
      <c r="C44" s="657">
        <f t="shared" ref="C44:C45" si="17">($B$39-$B$40)*B44</f>
        <v>0</v>
      </c>
      <c r="D44" s="658">
        <f>IF($B$43&gt;0.79, 26%, IF($B$44&gt;0.79, 23%, IF($B$45&gt;0.79, 10%, 23%)))</f>
        <v>0.23</v>
      </c>
      <c r="E44" s="406">
        <v>0.5</v>
      </c>
      <c r="F44" s="407">
        <f t="shared" ref="F44:F45" si="18">IFERROR(D44+D44*E44,"")</f>
        <v>0.34500000000000003</v>
      </c>
      <c r="G44" s="407" t="str">
        <f>IF(P44='Dropdown input'!$B$10,'Dropdown input'!$F$10,IF(P44='Dropdown input'!$B$11,'Dropdown input'!$F$11,IF(P44='Dropdown input'!$B$12,'Dropdown input'!$F$12,IF(P44='Dropdown input'!$B$13,'Dropdown input'!$F$13,IF(P44='Dropdown input'!$B$14,'Dropdown input'!$F$14,IF(P44='Dropdown input'!$B$15,'Dropdown input'!$F$15,""))))))</f>
        <v/>
      </c>
      <c r="H44" s="656" t="e">
        <f t="shared" ref="H44:H45" si="19">C44*(D44*G44+D44*G44*E44)</f>
        <v>#VALUE!</v>
      </c>
      <c r="I44" s="659"/>
      <c r="J44" s="667" t="e">
        <f t="shared" ref="J44:J45" si="20">IF(H44*C44&gt;0, H44/C44,0)</f>
        <v>#VALUE!</v>
      </c>
      <c r="K44" s="661">
        <f t="shared" ref="K44:K45" si="21">IFERROR(IF(J44&lt;G44*F44,J44/KG44,F44),0)</f>
        <v>0</v>
      </c>
      <c r="L44" s="662">
        <f t="shared" ref="L44:L45" si="22">K44*C44</f>
        <v>0</v>
      </c>
      <c r="M44" s="610" t="str">
        <f t="shared" ref="M44:M45" si="23">IFERROR(H44+L44+I44,"")</f>
        <v/>
      </c>
      <c r="N44" s="663" t="str">
        <f t="shared" ref="N44:N45" si="24">IFERROR(M44/$B$39,"")</f>
        <v/>
      </c>
      <c r="O44" s="665"/>
      <c r="P44" s="399" t="str">
        <f>IF(COUNTIF(C25:C33,"Région de plaine et ZC: Transformation, stockage et commercialisation en commun de produits agricoles régionaux (mesure individuelle)")&gt;0,"Région de plaine et ZC: Transformation, stockage et commercialisation en commun de produits agricoles régionaux (mesure individuelle)",
IF(COUNTIF(C25:C33,"Région de plaine et ZC: Transformation, stockage et commercialisation en commun de produits agricoles régionaux (mesure collective)")&gt;0,"Région de plaine et ZC: Transformation, stockage et commercialisation en commun de produits agricoles régionaux (mesure collective)",
IF(COUNTIF(C25:C33,"ZM I: Transformation, stockage et commercialisation en commun de produits agricoles régionaux (mesure individuelle)")&gt;0,"ZM I: Transformation, stockage et commercialisation en commun de produits agricoles régionaux (mesure individuelle)",
IF(COUNTIF(C25:C33,"ZM I: Transformation, stockage et commercialisation en commun de produits agricoles régionaux (mesure collective)")&gt;0,"ZM I: Transformation, stockage et commercialisation en commun de produits agricoles régionaux (mesure collective)",
IF(COUNTIF(C25:C33,"ZM II-IV: Transformation, stockage et commercialisation en commun de produits agricoles régionaux (mesure individuelle)")&gt;0,"ZM II-IV: Transformation, stockage et commercialisation en commun de produits agricoles régionaux (mesure individuelle)",
IF(COUNTIF(C25:C33,"ZM II-IV: Transformation, stockage et commercialisation en commun de produits agricoles régionaux (mesure collective)")&gt;0,"ZM II-IV: Transformation, stockage et commercialisation en commun de produits agricoles régionaux (mesure collective)",""))))))</f>
        <v/>
      </c>
      <c r="Q44" s="702" t="str">
        <f>IF(P44='Dropdown input'!$B$10,'Dropdown input'!$A$10,IF(P44='Dropdown input'!$B$11,'Dropdown input'!$A$11,IF(P44='Dropdown input'!$B$12,'Dropdown input'!$A$12,IF(P44='Dropdown input'!$B$13,'Dropdown input'!$A$13,IF(P44='Dropdown input'!$B$14,'Dropdown input'!$A$14,IF(P44='Dropdown input'!$B$15,'Dropdown input'!$A$15,""))))))</f>
        <v/>
      </c>
      <c r="Y44" s="14"/>
    </row>
    <row r="45" spans="1:29" ht="48.65" customHeight="1" outlineLevel="1" x14ac:dyDescent="0.3">
      <c r="A45" s="536" t="s">
        <v>499</v>
      </c>
      <c r="B45" s="532">
        <v>0</v>
      </c>
      <c r="C45" s="657">
        <f t="shared" si="17"/>
        <v>0</v>
      </c>
      <c r="D45" s="658">
        <f>IF($B$43&gt;0.79, 26%, IF($B$44&gt;0.79, 23%, IF($B$45&gt;0.79, 10%, 10%)))</f>
        <v>0.1</v>
      </c>
      <c r="E45" s="704">
        <v>0.5</v>
      </c>
      <c r="F45" s="407">
        <f t="shared" si="18"/>
        <v>0.15000000000000002</v>
      </c>
      <c r="G45" s="407" t="str">
        <f>IF(P45='Dropdown input'!$B$10,'Dropdown input'!$F$10,IF(P45='Dropdown input'!$B$11,'Dropdown input'!$F$11,IF(P45='Dropdown input'!$B$12,'Dropdown input'!$F$12,IF(P45='Dropdown input'!$B$13,'Dropdown input'!$F$13,IF(P45='Dropdown input'!$B$14,'Dropdown input'!$F$14,IF(P45='Dropdown input'!$B$15,'Dropdown input'!$F$15,""))))))</f>
        <v/>
      </c>
      <c r="H45" s="656" t="e">
        <f t="shared" si="19"/>
        <v>#VALUE!</v>
      </c>
      <c r="I45" s="660"/>
      <c r="J45" s="667" t="e">
        <f t="shared" si="20"/>
        <v>#VALUE!</v>
      </c>
      <c r="K45" s="661">
        <f t="shared" si="21"/>
        <v>0</v>
      </c>
      <c r="L45" s="662">
        <f t="shared" si="22"/>
        <v>0</v>
      </c>
      <c r="M45" s="610" t="str">
        <f t="shared" si="23"/>
        <v/>
      </c>
      <c r="N45" s="663" t="str">
        <f t="shared" si="24"/>
        <v/>
      </c>
      <c r="O45" s="666"/>
      <c r="P45" s="399" t="str">
        <f>IF(COUNTIF(C25:C33,"Région de plaine et ZC: Transformation, stockage et commercialisation en commun de produits agricoles régionaux (mesure individuelle)")&gt;0,"Région de plaine et ZC: Transformation, stockage et commercialisation en commun de produits agricoles régionaux (mesure individuelle)",
IF(COUNTIF(C25:C33,"Région de plaine et ZC: Transformation, stockage et commercialisation en commun de produits agricoles régionaux (mesure collective)")&gt;0,"Région de plaine et ZC: Transformation, stockage et commercialisation en commun de produits agricoles régionaux (mesure collective)",
IF(COUNTIF(C25:C33,"ZM I: Transformation, stockage et commercialisation en commun de produits agricoles régionaux (mesure individuelle)")&gt;0,"ZM I: Transformation, stockage et commercialisation en commun de produits agricoles régionaux (mesure individuelle)",
IF(COUNTIF(C25:C33,"ZM I: Transformation, stockage et commercialisation en commun de produits agricoles régionaux (mesure collective)")&gt;0,"ZM I: Transformation, stockage et commercialisation en commun de produits agricoles régionaux (mesure collective)",
IF(COUNTIF(C25:C33,"ZM II-IV: Transformation, stockage et commercialisation en commun de produits agricoles régionaux (mesure individuelle)")&gt;0,"ZM II-IV: Transformation, stockage et commercialisation en commun de produits agricoles régionaux (mesure individuelle)",
IF(COUNTIF(C25:C33,"ZM II-IV: Transformation, stockage et commercialisation en commun de produits agricoles régionaux (mesure collective)")&gt;0,"ZM II-IV: Transformation, stockage et commercialisation en commun de produits agricoles régionaux (mesure collective)",""))))))</f>
        <v/>
      </c>
      <c r="Q45" s="702" t="str">
        <f>IF(P45='Dropdown input'!$B$10,'Dropdown input'!$A$10,IF(P45='Dropdown input'!$B$11,'Dropdown input'!$A$11,IF(P45='Dropdown input'!$B$12,'Dropdown input'!$A$12,IF(P45='Dropdown input'!$B$13,'Dropdown input'!$A$13,IF(P45='Dropdown input'!$B$14,'Dropdown input'!$A$14,IF(P45='Dropdown input'!$B$15,'Dropdown input'!$A$15,""))))))</f>
        <v/>
      </c>
      <c r="Y45" s="14"/>
    </row>
    <row r="46" spans="1:29" ht="48.65" customHeight="1" thickBot="1" x14ac:dyDescent="0.35">
      <c r="A46" s="530"/>
      <c r="B46" s="539" t="str">
        <f>IF(SUM(B43:B45)=1,SUM(B43:B45),"La somme doit être 100%!")</f>
        <v>La somme doit être 100%!</v>
      </c>
      <c r="C46" s="653">
        <f>SUM(C43:C45)</f>
        <v>0</v>
      </c>
      <c r="D46" s="524">
        <f>IF($B$43&gt;0.79, 26%, IF($B$44&gt;0.79, 23%, IF($B$45&gt;0.79, 10%, D43*B43+D44*B44+D45*B45)))</f>
        <v>0</v>
      </c>
      <c r="E46" s="705">
        <v>0.5</v>
      </c>
      <c r="F46" s="524">
        <f>$B$43*$F$43+$B$44*$F$44+$B$45*$F$45</f>
        <v>0</v>
      </c>
      <c r="G46" s="525">
        <f>SUM(G43:G45)/3</f>
        <v>0</v>
      </c>
      <c r="H46" s="671" t="e">
        <f>SUM(H43:H45)</f>
        <v>#VALUE!</v>
      </c>
      <c r="I46" s="670">
        <f>SUM(I43:I45)</f>
        <v>0</v>
      </c>
      <c r="J46" s="534" t="e">
        <f>J43*B43+J44*B44+J45*B45</f>
        <v>#VALUE!</v>
      </c>
      <c r="K46" s="526" t="str">
        <f>IFERROR(IF(J46&lt;G46*F46,J46/KG46,F46),"")</f>
        <v/>
      </c>
      <c r="L46" s="533">
        <f>SUM(L43:L45)</f>
        <v>0</v>
      </c>
      <c r="M46" s="527">
        <f>SUM(M43:M45)</f>
        <v>0</v>
      </c>
      <c r="N46" s="615" t="str">
        <f>IFERROR(M46/B39,"")</f>
        <v/>
      </c>
      <c r="O46" s="614">
        <f>B39-M46</f>
        <v>0</v>
      </c>
      <c r="P46" s="697" t="str">
        <f>IF(COUNTIF(C25:C33,"Région de plaine et ZC: Transformation, stockage et commercialisation en commun de produits agricoles régionaux (mesure individuelle)")&gt;0,"Région de plaine et ZC: Transformation, stockage et commercialisation en commun de produits agricoles régionaux (mesure individuelle)",
IF(COUNTIF(C25:C33,"Région de plaine et ZC: Transformation, stockage et commercialisation en commun de produits agricoles régionaux (mesure collective)")&gt;0,"Région de plaine et ZC: Transformation, stockage et commercialisation en commun de produits agricoles régionaux (mesure collective)",
IF(COUNTIF(C25:C33,"ZM I: Transformation, stockage et commercialisation en commun de produits agricoles régionaux (mesure individuelle)")&gt;0,"ZM I: Transformation, stockage et commercialisation en commun de produits agricoles régionaux (mesure individuelle)",
IF(COUNTIF(C25:C33,"ZM I: Transformation, stockage et commercialisation en commun de produits agricoles régionaux (mesure collective)")&gt;0,"ZM I: Transformation, stockage et commercialisation en commun de produits agricoles régionaux (mesure collective)",
IF(COUNTIF(C25:C33,"ZM II-IV: Transformation, stockage et commercialisation en commun de produits agricoles régionaux (mesure individuelle)")&gt;0,"ZM II-IV: Transformation, stockage et commercialisation en commun de produits agricoles régionaux (mesure individuelle)",
IF(COUNTIF(C25:C33,"ZM II-IV: Transformation, stockage et commercialisation en commun de produits agricoles régionaux (mesure collective)")&gt;0,"ZM II-IV: Transformation, stockage et commercialisation en commun de produits agricoles régionaux (mesure collective)",""))))))</f>
        <v/>
      </c>
      <c r="Q46" s="703" t="str">
        <f>IF(P43='Dropdown input'!$B$10,'Dropdown input'!$A$10,IF(P43='Dropdown input'!$B$11,'Dropdown input'!$A$11,IF(P43='Dropdown input'!$B$12,'Dropdown input'!$A$12,IF(P43='Dropdown input'!$B$13,'Dropdown input'!$A$13,IF(P43='Dropdown input'!$B$14,'Dropdown input'!$A$14,IF(P43='Dropdown input'!$B$15,'Dropdown input'!$A$15,""))))))</f>
        <v/>
      </c>
      <c r="Y46" s="14"/>
    </row>
    <row r="47" spans="1:29" ht="16" thickTop="1" x14ac:dyDescent="0.3"/>
    <row r="83" spans="1:1" x14ac:dyDescent="0.3">
      <c r="A83" s="316"/>
    </row>
  </sheetData>
  <mergeCells count="5">
    <mergeCell ref="A12:D12"/>
    <mergeCell ref="A37:I37"/>
    <mergeCell ref="A10:K10"/>
    <mergeCell ref="A11:K11"/>
    <mergeCell ref="A22:R22"/>
  </mergeCells>
  <conditionalFormatting sqref="B3:B7">
    <cfRule type="cellIs" dxfId="15" priority="1" operator="equal">
      <formula>""</formula>
    </cfRule>
    <cfRule type="cellIs" dxfId="14" priority="2" operator="equal">
      <formula>"sélectionner"</formula>
    </cfRule>
  </conditionalFormatting>
  <conditionalFormatting sqref="B46">
    <cfRule type="cellIs" dxfId="13" priority="6" operator="notEqual">
      <formula>1</formula>
    </cfRule>
  </conditionalFormatting>
  <conditionalFormatting sqref="I43:J45">
    <cfRule type="expression" dxfId="12" priority="3">
      <formula>$J$43&lt;(#REF!*$D$43)</formula>
    </cfRule>
  </conditionalFormatting>
  <conditionalFormatting sqref="K46">
    <cfRule type="expression" dxfId="11" priority="9">
      <formula>$K$43&lt;(#REF!*$E$43)</formula>
    </cfRule>
  </conditionalFormatting>
  <dataValidations count="1">
    <dataValidation type="list" allowBlank="1" showInputMessage="1" showErrorMessage="1" sqref="B4" xr:uid="{00000000-0002-0000-0000-000000000000}">
      <formula1>INDIRECT(B3)</formula1>
    </dataValidation>
  </dataValidations>
  <pageMargins left="0.7" right="0.7" top="0.78740157499999996" bottom="0.78740157499999996" header="0.3" footer="0.3"/>
  <pageSetup paperSize="9" scale="23" fitToHeight="0" orientation="landscape" r:id="rId1"/>
  <ignoredErrors>
    <ignoredError sqref="H34:J34 I26:I28 F26:F27 Q26:Q27 D8 F29:G33 O29:O34 Q29:Q33 I45 I43 I46 O45 L29:N33 I29:I33" unlockedFormula="1"/>
  </ignoredError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'Dropdown input'!$B$28:$G$28</xm:f>
          </x14:formula1>
          <xm:sqref>B3</xm:sqref>
        </x14:dataValidation>
        <x14:dataValidation type="list" allowBlank="1" showInputMessage="1" showErrorMessage="1" xr:uid="{00000000-0002-0000-0000-000003000000}">
          <x14:formula1>
            <xm:f>'Dropdown input'!$B$38:$B$39</xm:f>
          </x14:formula1>
          <xm:sqref>B8</xm:sqref>
        </x14:dataValidation>
        <x14:dataValidation type="list" allowBlank="1" showInputMessage="1" showErrorMessage="1" xr:uid="{00000000-0002-0000-0000-000004000000}">
          <x14:formula1>
            <xm:f>'Dropdown input'!$B$43:$B$45</xm:f>
          </x14:formula1>
          <xm:sqref>B7</xm:sqref>
        </x14:dataValidation>
        <x14:dataValidation type="list" allowBlank="1" showInputMessage="1" showErrorMessage="1" xr:uid="{00000000-0002-0000-0000-000008000000}">
          <x14:formula1>
            <xm:f>'Dropdown input'!$B$38:$B$40</xm:f>
          </x14:formula1>
          <xm:sqref>B6</xm:sqref>
        </x14:dataValidation>
        <x14:dataValidation type="list" allowBlank="1" showInputMessage="1" showErrorMessage="1" xr:uid="{00000000-0002-0000-0000-000009000000}">
          <x14:formula1>
            <xm:f>'Dropdown input'!$D$38:$D$40</xm:f>
          </x14:formula1>
          <xm:sqref>B5:B6</xm:sqref>
        </x14:dataValidation>
        <x14:dataValidation type="list" allowBlank="1" showInputMessage="1" showErrorMessage="1" xr:uid="{00000000-0002-0000-0000-000006000000}">
          <x14:formula1>
            <xm:f>'Dropdown input'!$B$23:$B$26</xm:f>
          </x14:formula1>
          <xm:sqref>C29:C33 B25:B28</xm:sqref>
        </x14:dataValidation>
        <x14:dataValidation type="list" allowBlank="1" showInputMessage="1" showErrorMessage="1" xr:uid="{00000000-0002-0000-0000-000007000000}">
          <x14:formula1>
            <xm:f>'Dropdown input'!$B$7:$B$15</xm:f>
          </x14:formula1>
          <xm:sqref>D29:D33 C26:C28</xm:sqref>
        </x14:dataValidation>
        <x14:dataValidation type="list" allowBlank="1" showInputMessage="1" showErrorMessage="1" xr:uid="{28B03C8E-7D10-413E-B29F-0BDC8FCF5E2B}">
          <x14:formula1>
            <xm:f>'Dropdown input'!$B$7:$B$20</xm:f>
          </x14:formula1>
          <xm:sqref>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J61"/>
  <sheetViews>
    <sheetView showGridLines="0" zoomScale="70" zoomScaleNormal="70" zoomScaleSheetLayoutView="40" workbookViewId="0">
      <selection activeCell="A20" sqref="A20:A22"/>
    </sheetView>
  </sheetViews>
  <sheetFormatPr baseColWidth="10" defaultColWidth="10.58203125" defaultRowHeight="14" outlineLevelRow="1" outlineLevelCol="1" x14ac:dyDescent="0.3"/>
  <cols>
    <col min="1" max="1" width="63" style="3" customWidth="1"/>
    <col min="2" max="2" width="18.5" style="3" customWidth="1"/>
    <col min="3" max="3" width="16.33203125" style="3" customWidth="1"/>
    <col min="4" max="4" width="20.33203125" style="3" customWidth="1"/>
    <col min="5" max="9" width="20.33203125" style="3" customWidth="1" outlineLevel="1"/>
    <col min="10" max="10" width="17.75" style="3" customWidth="1"/>
    <col min="11" max="11" width="10.83203125" style="3" customWidth="1"/>
    <col min="12" max="12" width="11.25" style="3" customWidth="1"/>
    <col min="13" max="13" width="9.5" style="3" customWidth="1"/>
    <col min="14" max="14" width="9.08203125" style="3" customWidth="1"/>
    <col min="15" max="15" width="7.83203125" style="3" customWidth="1"/>
    <col min="16" max="16" width="27.5" style="596" customWidth="1"/>
    <col min="17" max="19" width="10" style="3" hidden="1" customWidth="1"/>
    <col min="20" max="16384" width="10.58203125" style="3"/>
  </cols>
  <sheetData>
    <row r="1" spans="1:36" s="215" customFormat="1" ht="23.5" customHeight="1" x14ac:dyDescent="0.3">
      <c r="A1" s="367" t="s">
        <v>470</v>
      </c>
      <c r="B1" s="213"/>
      <c r="C1" s="213"/>
      <c r="D1" s="213"/>
      <c r="E1" s="213"/>
      <c r="F1" s="213"/>
      <c r="G1" s="213"/>
      <c r="H1" s="213"/>
      <c r="I1" s="213"/>
      <c r="J1" s="213"/>
      <c r="K1" s="213"/>
      <c r="L1" s="213"/>
      <c r="M1" s="213"/>
      <c r="N1" s="213"/>
      <c r="O1" s="213"/>
      <c r="P1" s="214"/>
      <c r="Q1" s="213"/>
      <c r="R1" s="213"/>
      <c r="S1" s="213"/>
      <c r="T1" s="213"/>
      <c r="U1" s="213"/>
      <c r="V1" s="213"/>
      <c r="W1" s="213"/>
      <c r="X1" s="213"/>
      <c r="Y1" s="213"/>
      <c r="Z1" s="214"/>
      <c r="AA1" s="213"/>
      <c r="AB1" s="213"/>
      <c r="AC1" s="213"/>
      <c r="AD1" s="213"/>
      <c r="AE1" s="213"/>
      <c r="AF1" s="213"/>
      <c r="AG1" s="213"/>
    </row>
    <row r="2" spans="1:36" s="219" customFormat="1" ht="15.5" x14ac:dyDescent="0.3">
      <c r="A2" s="216" t="s">
        <v>275</v>
      </c>
      <c r="B2" s="217" t="str">
        <f>IF('Vue d''ensemble'!B2=0,"",'Vue d''ensemble'!B2)</f>
        <v/>
      </c>
      <c r="C2" s="217"/>
      <c r="D2" s="368"/>
      <c r="E2" s="216" t="s">
        <v>276</v>
      </c>
      <c r="F2" s="220"/>
      <c r="G2" s="368"/>
      <c r="H2" s="368"/>
      <c r="I2" s="368"/>
      <c r="J2" s="368"/>
      <c r="K2" s="368"/>
      <c r="L2" s="368"/>
      <c r="M2" s="368"/>
      <c r="N2" s="368"/>
      <c r="O2" s="368"/>
      <c r="P2" s="591"/>
      <c r="T2" s="14"/>
      <c r="U2" s="14"/>
      <c r="V2" s="221"/>
      <c r="W2" s="221"/>
      <c r="X2" s="14"/>
      <c r="Y2" s="14"/>
      <c r="Z2" s="14"/>
      <c r="AA2" s="14"/>
      <c r="AB2" s="14"/>
      <c r="AC2" s="14"/>
      <c r="AD2" s="14"/>
      <c r="AE2" s="14"/>
      <c r="AF2" s="14"/>
    </row>
    <row r="3" spans="1:36" s="482" customFormat="1" ht="18" x14ac:dyDescent="0.3">
      <c r="A3" s="480" t="s">
        <v>281</v>
      </c>
      <c r="B3" s="479"/>
      <c r="C3" s="479"/>
      <c r="D3" s="479"/>
      <c r="E3" s="479"/>
      <c r="F3" s="479"/>
      <c r="G3" s="479"/>
      <c r="H3" s="479"/>
      <c r="I3" s="479"/>
      <c r="J3" s="480"/>
      <c r="K3" s="479"/>
      <c r="L3" s="479"/>
      <c r="M3" s="479"/>
      <c r="N3" s="479"/>
      <c r="O3" s="479"/>
      <c r="P3" s="479"/>
      <c r="Q3" s="479"/>
      <c r="R3" s="479"/>
      <c r="S3" s="479"/>
      <c r="T3" s="484"/>
      <c r="U3" s="484"/>
      <c r="V3" s="484"/>
      <c r="W3" s="484"/>
      <c r="X3" s="481"/>
      <c r="Y3" s="481"/>
      <c r="Z3" s="481"/>
      <c r="AA3" s="481"/>
      <c r="AB3" s="481"/>
      <c r="AC3" s="481"/>
      <c r="AD3" s="481"/>
      <c r="AE3" s="481"/>
      <c r="AF3" s="481"/>
      <c r="AG3" s="485"/>
      <c r="AH3" s="485"/>
      <c r="AI3" s="485"/>
      <c r="AJ3" s="485"/>
    </row>
    <row r="4" spans="1:36" s="7" customFormat="1" ht="75" customHeight="1" outlineLevel="1" x14ac:dyDescent="0.3">
      <c r="A4" s="714" t="s">
        <v>483</v>
      </c>
      <c r="B4" s="715"/>
      <c r="C4" s="715"/>
      <c r="D4" s="715"/>
      <c r="E4" s="715"/>
      <c r="F4" s="715"/>
      <c r="G4" s="715"/>
      <c r="H4" s="715"/>
      <c r="I4" s="715"/>
      <c r="J4" s="715"/>
      <c r="K4" s="715"/>
      <c r="L4" s="715"/>
      <c r="M4" s="715"/>
      <c r="N4" s="715"/>
      <c r="O4" s="715"/>
      <c r="P4" s="632"/>
      <c r="Q4" s="366"/>
      <c r="R4" s="366"/>
      <c r="S4" s="366"/>
      <c r="T4" s="8"/>
      <c r="U4" s="8"/>
      <c r="V4" s="8"/>
      <c r="W4" s="8"/>
      <c r="X4" s="1"/>
      <c r="Y4" s="1"/>
      <c r="Z4" s="1"/>
      <c r="AA4" s="1"/>
      <c r="AB4" s="1"/>
      <c r="AC4" s="1"/>
      <c r="AD4" s="1"/>
      <c r="AE4" s="1"/>
      <c r="AF4" s="1"/>
    </row>
    <row r="5" spans="1:36" s="18" customFormat="1" ht="15.5" x14ac:dyDescent="0.35">
      <c r="A5" s="369" t="s">
        <v>285</v>
      </c>
      <c r="B5" s="221"/>
      <c r="C5" s="221"/>
      <c r="D5" s="221"/>
      <c r="E5" s="221"/>
      <c r="F5" s="221"/>
      <c r="G5" s="221"/>
      <c r="H5" s="221"/>
      <c r="I5" s="221"/>
      <c r="J5" s="221"/>
      <c r="K5" s="221"/>
      <c r="L5" s="221"/>
      <c r="M5" s="221"/>
      <c r="P5" s="592"/>
      <c r="R5" s="14"/>
      <c r="S5" s="14"/>
      <c r="T5" s="221"/>
      <c r="U5" s="221"/>
      <c r="V5" s="221"/>
      <c r="W5" s="221"/>
      <c r="X5" s="221"/>
      <c r="Y5" s="221"/>
      <c r="Z5" s="221"/>
      <c r="AA5" s="221"/>
      <c r="AB5" s="221"/>
      <c r="AC5" s="221"/>
      <c r="AD5" s="221"/>
      <c r="AE5" s="221"/>
      <c r="AF5" s="221"/>
      <c r="AG5" s="217"/>
      <c r="AH5" s="217"/>
      <c r="AI5" s="217"/>
      <c r="AJ5" s="217"/>
    </row>
    <row r="6" spans="1:36" s="18" customFormat="1" ht="15.5" x14ac:dyDescent="0.35">
      <c r="A6" s="221"/>
      <c r="B6" s="221"/>
      <c r="C6" s="221"/>
      <c r="D6" s="221"/>
      <c r="E6" s="221"/>
      <c r="F6" s="221"/>
      <c r="G6" s="221"/>
      <c r="H6" s="221"/>
      <c r="I6" s="221"/>
      <c r="J6" s="221"/>
      <c r="K6" s="221"/>
      <c r="L6" s="221"/>
      <c r="M6" s="221"/>
      <c r="P6" s="592"/>
      <c r="R6" s="14"/>
      <c r="S6" s="14"/>
      <c r="T6" s="14"/>
      <c r="U6" s="14"/>
      <c r="V6" s="14"/>
      <c r="W6" s="14"/>
      <c r="X6" s="14"/>
      <c r="Y6" s="14"/>
      <c r="Z6" s="14"/>
      <c r="AA6" s="14"/>
      <c r="AB6" s="14"/>
      <c r="AC6" s="14"/>
      <c r="AD6" s="14"/>
      <c r="AE6" s="14"/>
      <c r="AF6" s="14"/>
    </row>
    <row r="7" spans="1:36" s="482" customFormat="1" ht="18" x14ac:dyDescent="0.3">
      <c r="A7" s="480" t="s">
        <v>471</v>
      </c>
      <c r="B7" s="479"/>
      <c r="C7" s="479"/>
      <c r="D7" s="479"/>
      <c r="E7" s="479"/>
      <c r="F7" s="479"/>
      <c r="G7" s="479"/>
      <c r="H7" s="479"/>
      <c r="I7" s="479"/>
      <c r="J7" s="480"/>
      <c r="K7" s="479"/>
      <c r="L7" s="479"/>
      <c r="M7" s="479"/>
      <c r="N7" s="479"/>
      <c r="O7" s="479"/>
      <c r="P7" s="479"/>
      <c r="Q7" s="486" t="s">
        <v>325</v>
      </c>
      <c r="R7" s="479"/>
      <c r="S7" s="479"/>
      <c r="T7" s="484"/>
      <c r="U7" s="484"/>
      <c r="V7" s="484"/>
      <c r="W7" s="484"/>
      <c r="X7" s="481"/>
      <c r="Y7" s="481"/>
      <c r="Z7" s="481"/>
      <c r="AA7" s="481"/>
      <c r="AB7" s="481"/>
      <c r="AC7" s="481"/>
      <c r="AD7" s="481"/>
      <c r="AE7" s="481"/>
      <c r="AF7" s="481"/>
      <c r="AG7" s="485"/>
      <c r="AH7" s="485"/>
      <c r="AI7" s="485"/>
      <c r="AJ7" s="485"/>
    </row>
    <row r="8" spans="1:36" s="14" customFormat="1" ht="41.5" customHeight="1" x14ac:dyDescent="0.3">
      <c r="A8" s="370"/>
      <c r="B8" s="371"/>
      <c r="C8" s="470" t="s">
        <v>326</v>
      </c>
      <c r="D8" s="470" t="s">
        <v>482</v>
      </c>
      <c r="E8" s="470" t="s">
        <v>480</v>
      </c>
      <c r="F8" s="470" t="s">
        <v>327</v>
      </c>
      <c r="G8" s="470" t="s">
        <v>328</v>
      </c>
      <c r="H8" s="470" t="s">
        <v>329</v>
      </c>
      <c r="I8" s="470" t="s">
        <v>481</v>
      </c>
      <c r="J8" s="471" t="s">
        <v>330</v>
      </c>
      <c r="K8" s="472" t="s">
        <v>312</v>
      </c>
      <c r="L8" s="472" t="s">
        <v>437</v>
      </c>
      <c r="M8" s="472"/>
      <c r="N8" s="472" t="s">
        <v>438</v>
      </c>
      <c r="O8" s="472"/>
      <c r="P8" s="593" t="s">
        <v>379</v>
      </c>
      <c r="Q8" s="370" t="str">
        <f>C8</f>
        <v>n = année précédente</v>
      </c>
      <c r="R8" s="370" t="str">
        <f>D8</f>
        <v>n + 1
(1ère année du PDR)</v>
      </c>
      <c r="S8" s="390" t="str">
        <f>I8</f>
        <v>n+6
(dernière année du PDR)</v>
      </c>
    </row>
    <row r="9" spans="1:36" s="484" customFormat="1" ht="62" x14ac:dyDescent="0.3">
      <c r="A9" s="487" t="s">
        <v>402</v>
      </c>
      <c r="B9" s="488"/>
      <c r="C9" s="489">
        <f>SUM(C10:C18)</f>
        <v>0</v>
      </c>
      <c r="D9" s="489">
        <f t="shared" ref="D9:J9" si="0">SUM(D10:D18)</f>
        <v>0</v>
      </c>
      <c r="E9" s="489">
        <f t="shared" si="0"/>
        <v>0</v>
      </c>
      <c r="F9" s="489">
        <f t="shared" si="0"/>
        <v>0</v>
      </c>
      <c r="G9" s="489">
        <f t="shared" si="0"/>
        <v>0</v>
      </c>
      <c r="H9" s="489">
        <f t="shared" si="0"/>
        <v>0</v>
      </c>
      <c r="I9" s="489">
        <f t="shared" si="0"/>
        <v>0</v>
      </c>
      <c r="J9" s="490">
        <f t="shared" si="0"/>
        <v>0</v>
      </c>
      <c r="K9" s="490">
        <f>SUM(C9:J9)</f>
        <v>0</v>
      </c>
      <c r="L9" s="554" t="str">
        <f>C8</f>
        <v>n = année précédente</v>
      </c>
      <c r="M9" s="554" t="str">
        <f>I8</f>
        <v>n+6
(dernière année du PDR)</v>
      </c>
      <c r="N9" s="554" t="str">
        <f>C8</f>
        <v>n = année précédente</v>
      </c>
      <c r="O9" s="554" t="str">
        <f>I8</f>
        <v>n+6
(dernière année du PDR)</v>
      </c>
      <c r="P9" s="590"/>
      <c r="Q9" s="493" t="str">
        <f>IF(SUM(Q10:Q18)=100%,"OK","!")</f>
        <v>!</v>
      </c>
      <c r="R9" s="493" t="str">
        <f t="shared" ref="R9:S9" si="1">IF(SUM(R10:R18)=100%,"OK","!")</f>
        <v>!</v>
      </c>
      <c r="S9" s="493" t="str">
        <f t="shared" si="1"/>
        <v>!</v>
      </c>
    </row>
    <row r="10" spans="1:36" s="14" customFormat="1" ht="15.5" x14ac:dyDescent="0.3">
      <c r="A10" s="372"/>
      <c r="B10" s="373"/>
      <c r="C10" s="379">
        <f>L10*N10</f>
        <v>0</v>
      </c>
      <c r="D10" s="372"/>
      <c r="E10" s="372"/>
      <c r="F10" s="372"/>
      <c r="G10" s="372"/>
      <c r="H10" s="372"/>
      <c r="I10" s="379">
        <f>M10*O10</f>
        <v>0</v>
      </c>
      <c r="J10" s="374"/>
      <c r="K10" s="375">
        <f>SUM(C10:J10)</f>
        <v>0</v>
      </c>
      <c r="L10" s="374"/>
      <c r="M10" s="374"/>
      <c r="N10" s="374"/>
      <c r="O10" s="374"/>
      <c r="P10" s="581"/>
      <c r="Q10" s="17" t="str">
        <f>IFERROR(C10/$C$9,"N/A")</f>
        <v>N/A</v>
      </c>
      <c r="R10" s="17" t="str">
        <f>IFERROR(D10/$D$9,"N/A")</f>
        <v>N/A</v>
      </c>
      <c r="S10" s="17" t="str">
        <f>IFERROR(I10/$I$9,"N/A")</f>
        <v>N/A</v>
      </c>
    </row>
    <row r="11" spans="1:36" s="14" customFormat="1" ht="15.5" x14ac:dyDescent="0.3">
      <c r="A11" s="372"/>
      <c r="B11" s="373"/>
      <c r="C11" s="379">
        <f t="shared" ref="C11:C18" si="2">L11*N11</f>
        <v>0</v>
      </c>
      <c r="D11" s="372"/>
      <c r="E11" s="372"/>
      <c r="F11" s="372"/>
      <c r="G11" s="372"/>
      <c r="H11" s="372"/>
      <c r="I11" s="379">
        <f t="shared" ref="I11:I18" si="3">M11*O11</f>
        <v>0</v>
      </c>
      <c r="J11" s="374"/>
      <c r="K11" s="375">
        <f>SUM(C11:J11)</f>
        <v>0</v>
      </c>
      <c r="L11" s="374"/>
      <c r="M11" s="374"/>
      <c r="N11" s="374"/>
      <c r="O11" s="374"/>
      <c r="P11" s="581"/>
      <c r="Q11" s="17" t="str">
        <f>IFERROR(C11/$C$9,"N/A")</f>
        <v>N/A</v>
      </c>
      <c r="R11" s="17" t="str">
        <f>IFERROR(D11/$D$9,"N/A")</f>
        <v>N/A</v>
      </c>
      <c r="S11" s="17" t="str">
        <f>IFERROR(I11/$I$9,"N/A")</f>
        <v>N/A</v>
      </c>
    </row>
    <row r="12" spans="1:36" s="14" customFormat="1" ht="15.5" x14ac:dyDescent="0.3">
      <c r="A12" s="372"/>
      <c r="B12" s="373"/>
      <c r="C12" s="379">
        <f t="shared" si="2"/>
        <v>0</v>
      </c>
      <c r="D12" s="372"/>
      <c r="E12" s="372"/>
      <c r="F12" s="372"/>
      <c r="G12" s="372"/>
      <c r="H12" s="372"/>
      <c r="I12" s="379">
        <f t="shared" si="3"/>
        <v>0</v>
      </c>
      <c r="J12" s="374"/>
      <c r="K12" s="375">
        <f>SUM(C12:J12)</f>
        <v>0</v>
      </c>
      <c r="L12" s="374"/>
      <c r="M12" s="374"/>
      <c r="N12" s="374"/>
      <c r="O12" s="374"/>
      <c r="P12" s="581"/>
      <c r="Q12" s="17" t="str">
        <f>IFERROR(C12/$C$9,"N/A")</f>
        <v>N/A</v>
      </c>
      <c r="R12" s="17" t="str">
        <f>IFERROR(D12/$D$9,"N/A")</f>
        <v>N/A</v>
      </c>
      <c r="S12" s="17" t="str">
        <f>IFERROR(I12/$I$9,"N/A")</f>
        <v>N/A</v>
      </c>
    </row>
    <row r="13" spans="1:36" s="14" customFormat="1" ht="15.5" x14ac:dyDescent="0.3">
      <c r="A13" s="372"/>
      <c r="B13" s="373"/>
      <c r="C13" s="379">
        <f t="shared" si="2"/>
        <v>0</v>
      </c>
      <c r="D13" s="372"/>
      <c r="E13" s="372"/>
      <c r="F13" s="372"/>
      <c r="G13" s="372"/>
      <c r="H13" s="372"/>
      <c r="I13" s="379">
        <f t="shared" si="3"/>
        <v>0</v>
      </c>
      <c r="J13" s="374"/>
      <c r="K13" s="375">
        <f t="shared" ref="K13:K18" si="4">SUM(C13:J13)</f>
        <v>0</v>
      </c>
      <c r="L13" s="374"/>
      <c r="M13" s="374"/>
      <c r="N13" s="374"/>
      <c r="O13" s="374"/>
      <c r="P13" s="581"/>
      <c r="Q13" s="17" t="str">
        <f>IFERROR(C13/$C$9,"N/A")</f>
        <v>N/A</v>
      </c>
      <c r="R13" s="17" t="str">
        <f>IFERROR(D13/$D$9,"N/A")</f>
        <v>N/A</v>
      </c>
      <c r="S13" s="17" t="str">
        <f>IFERROR(I13/$I$9,"N/A")</f>
        <v>N/A</v>
      </c>
    </row>
    <row r="14" spans="1:36" s="14" customFormat="1" ht="15.5" x14ac:dyDescent="0.3">
      <c r="A14" s="372" t="s">
        <v>331</v>
      </c>
      <c r="B14" s="373"/>
      <c r="C14" s="379">
        <f t="shared" si="2"/>
        <v>0</v>
      </c>
      <c r="D14" s="372"/>
      <c r="E14" s="372"/>
      <c r="F14" s="372"/>
      <c r="G14" s="372"/>
      <c r="H14" s="372"/>
      <c r="I14" s="379">
        <f t="shared" si="3"/>
        <v>0</v>
      </c>
      <c r="J14" s="374"/>
      <c r="K14" s="375">
        <f t="shared" si="4"/>
        <v>0</v>
      </c>
      <c r="L14" s="374"/>
      <c r="M14" s="374"/>
      <c r="N14" s="374"/>
      <c r="O14" s="374"/>
      <c r="P14" s="581"/>
      <c r="Q14" s="17" t="str">
        <f>IFERROR(C14/$C$9,"N/A")</f>
        <v>N/A</v>
      </c>
      <c r="R14" s="17" t="str">
        <f>IFERROR(D14/$D$9,"N/A")</f>
        <v>N/A</v>
      </c>
      <c r="S14" s="17" t="str">
        <f>IFERROR(I14/$I$9,"N/A")</f>
        <v>N/A</v>
      </c>
    </row>
    <row r="15" spans="1:36" s="14" customFormat="1" ht="15.5" x14ac:dyDescent="0.3">
      <c r="A15" s="372"/>
      <c r="B15" s="373"/>
      <c r="C15" s="379">
        <f t="shared" si="2"/>
        <v>0</v>
      </c>
      <c r="D15" s="372"/>
      <c r="E15" s="372"/>
      <c r="F15" s="372"/>
      <c r="G15" s="372"/>
      <c r="H15" s="372"/>
      <c r="I15" s="379">
        <f t="shared" si="3"/>
        <v>0</v>
      </c>
      <c r="J15" s="374"/>
      <c r="K15" s="375">
        <f t="shared" si="4"/>
        <v>0</v>
      </c>
      <c r="L15" s="374"/>
      <c r="M15" s="374"/>
      <c r="N15" s="374"/>
      <c r="O15" s="374"/>
      <c r="P15" s="581"/>
      <c r="Q15" s="17"/>
      <c r="R15" s="17"/>
      <c r="S15" s="17"/>
    </row>
    <row r="16" spans="1:36" s="14" customFormat="1" ht="15.5" x14ac:dyDescent="0.3">
      <c r="A16" s="372"/>
      <c r="B16" s="373"/>
      <c r="C16" s="379">
        <f t="shared" si="2"/>
        <v>0</v>
      </c>
      <c r="D16" s="372"/>
      <c r="E16" s="372"/>
      <c r="F16" s="372"/>
      <c r="G16" s="372"/>
      <c r="H16" s="372"/>
      <c r="I16" s="379">
        <f t="shared" si="3"/>
        <v>0</v>
      </c>
      <c r="J16" s="374"/>
      <c r="K16" s="375">
        <f t="shared" si="4"/>
        <v>0</v>
      </c>
      <c r="L16" s="374"/>
      <c r="M16" s="374"/>
      <c r="N16" s="374"/>
      <c r="O16" s="374"/>
      <c r="P16" s="581"/>
      <c r="Q16" s="17"/>
      <c r="R16" s="17"/>
      <c r="S16" s="17"/>
    </row>
    <row r="17" spans="1:20" s="14" customFormat="1" ht="15.5" x14ac:dyDescent="0.3">
      <c r="A17" s="372"/>
      <c r="B17" s="373"/>
      <c r="C17" s="379">
        <f t="shared" si="2"/>
        <v>0</v>
      </c>
      <c r="D17" s="372"/>
      <c r="E17" s="372"/>
      <c r="F17" s="372"/>
      <c r="G17" s="372"/>
      <c r="H17" s="372"/>
      <c r="I17" s="379">
        <f t="shared" si="3"/>
        <v>0</v>
      </c>
      <c r="J17" s="374"/>
      <c r="K17" s="375">
        <f t="shared" si="4"/>
        <v>0</v>
      </c>
      <c r="L17" s="374"/>
      <c r="M17" s="374"/>
      <c r="N17" s="374"/>
      <c r="O17" s="374"/>
      <c r="P17" s="581"/>
      <c r="Q17" s="17" t="str">
        <f>IFERROR(C17/$C$9,"N/A")</f>
        <v>N/A</v>
      </c>
      <c r="R17" s="17" t="str">
        <f>IFERROR(D17/$D$9,"N/A")</f>
        <v>N/A</v>
      </c>
      <c r="S17" s="17" t="str">
        <f>IFERROR(I17/$I$9,"N/A")</f>
        <v>N/A</v>
      </c>
    </row>
    <row r="18" spans="1:20" s="14" customFormat="1" ht="15.5" x14ac:dyDescent="0.3">
      <c r="A18" s="372"/>
      <c r="B18" s="373"/>
      <c r="C18" s="379">
        <f t="shared" si="2"/>
        <v>0</v>
      </c>
      <c r="D18" s="372"/>
      <c r="E18" s="372"/>
      <c r="F18" s="372"/>
      <c r="G18" s="372"/>
      <c r="H18" s="372"/>
      <c r="I18" s="379">
        <f t="shared" si="3"/>
        <v>0</v>
      </c>
      <c r="J18" s="374"/>
      <c r="K18" s="375">
        <f t="shared" si="4"/>
        <v>0</v>
      </c>
      <c r="L18" s="375"/>
      <c r="M18" s="375"/>
      <c r="N18" s="375"/>
      <c r="O18" s="375"/>
      <c r="P18" s="286"/>
      <c r="Q18" s="17" t="str">
        <f>IFERROR(C18/$C$9,"N/A")</f>
        <v>N/A</v>
      </c>
      <c r="R18" s="17" t="str">
        <f>IFERROR(D18/$D$9,"N/A")</f>
        <v>N/A</v>
      </c>
      <c r="S18" s="17" t="str">
        <f>IFERROR(I18/$I$9,"N/A")</f>
        <v>N/A</v>
      </c>
    </row>
    <row r="19" spans="1:20" s="484" customFormat="1" ht="62" x14ac:dyDescent="0.3">
      <c r="A19" s="494" t="s">
        <v>403</v>
      </c>
      <c r="B19" s="495"/>
      <c r="C19" s="496">
        <f>SUM(C20:C26)</f>
        <v>0</v>
      </c>
      <c r="D19" s="496">
        <f t="shared" ref="D19:H19" si="5">SUM(D20:D26)</f>
        <v>0</v>
      </c>
      <c r="E19" s="496">
        <f t="shared" si="5"/>
        <v>0</v>
      </c>
      <c r="F19" s="496">
        <f t="shared" si="5"/>
        <v>0</v>
      </c>
      <c r="G19" s="496">
        <f t="shared" si="5"/>
        <v>0</v>
      </c>
      <c r="H19" s="496">
        <f t="shared" si="5"/>
        <v>0</v>
      </c>
      <c r="I19" s="496">
        <f>SUM(I20:I26)</f>
        <v>0</v>
      </c>
      <c r="J19" s="497">
        <f>SUM(J20:J26)</f>
        <v>0</v>
      </c>
      <c r="K19" s="497">
        <f t="shared" ref="K19:K28" si="6">SUM(C19:J19)</f>
        <v>0</v>
      </c>
      <c r="L19" s="556" t="s">
        <v>439</v>
      </c>
      <c r="M19" s="555" t="str">
        <f>I8</f>
        <v>n+6
(dernière année du PDR)</v>
      </c>
      <c r="N19" s="556" t="s">
        <v>440</v>
      </c>
      <c r="O19" s="555" t="str">
        <f>I8</f>
        <v>n+6
(dernière année du PDR)</v>
      </c>
      <c r="P19" s="594"/>
      <c r="Q19" s="493" t="str">
        <f>IF(SUM(Q20:Q27)=100%,"OK","!")</f>
        <v>!</v>
      </c>
      <c r="R19" s="493" t="str">
        <f t="shared" ref="R19:S19" si="7">IF(SUM(R20:R27)=100%,"OK","!")</f>
        <v>!</v>
      </c>
      <c r="S19" s="493" t="str">
        <f t="shared" si="7"/>
        <v>!</v>
      </c>
    </row>
    <row r="20" spans="1:20" s="14" customFormat="1" ht="15.5" x14ac:dyDescent="0.3">
      <c r="A20" s="372"/>
      <c r="B20" s="378"/>
      <c r="C20" s="379">
        <f>L20*N20</f>
        <v>0</v>
      </c>
      <c r="D20" s="372"/>
      <c r="E20" s="372"/>
      <c r="F20" s="372"/>
      <c r="G20" s="372"/>
      <c r="H20" s="372"/>
      <c r="I20" s="379">
        <f>M20*O20</f>
        <v>0</v>
      </c>
      <c r="J20" s="374"/>
      <c r="K20" s="375">
        <f t="shared" si="6"/>
        <v>0</v>
      </c>
      <c r="L20" s="599"/>
      <c r="M20" s="599"/>
      <c r="N20" s="375">
        <f>N10</f>
        <v>0</v>
      </c>
      <c r="O20" s="375">
        <f>O10</f>
        <v>0</v>
      </c>
      <c r="P20" s="581"/>
      <c r="Q20" s="17" t="str">
        <f t="shared" ref="Q20:Q27" si="8">IFERROR(C20/$C$19,"N/A")</f>
        <v>N/A</v>
      </c>
      <c r="R20" s="17" t="str">
        <f t="shared" ref="R20:R27" si="9">IFERROR(D20/$D$19,"N/A")</f>
        <v>N/A</v>
      </c>
      <c r="S20" s="17" t="str">
        <f t="shared" ref="S20:S27" si="10">IFERROR(I20/$I$19,"N/A")</f>
        <v>N/A</v>
      </c>
    </row>
    <row r="21" spans="1:20" s="14" customFormat="1" ht="15.5" x14ac:dyDescent="0.3">
      <c r="A21" s="372"/>
      <c r="B21" s="378"/>
      <c r="C21" s="379">
        <f t="shared" ref="C21:C27" si="11">L21*N21</f>
        <v>0</v>
      </c>
      <c r="D21" s="372"/>
      <c r="E21" s="372"/>
      <c r="F21" s="372"/>
      <c r="G21" s="372"/>
      <c r="H21" s="372"/>
      <c r="I21" s="379">
        <f t="shared" ref="I21:I27" si="12">M21*O21</f>
        <v>0</v>
      </c>
      <c r="J21" s="374"/>
      <c r="K21" s="375">
        <f t="shared" si="6"/>
        <v>0</v>
      </c>
      <c r="L21" s="599"/>
      <c r="M21" s="599"/>
      <c r="N21" s="375">
        <f t="shared" ref="N21:O21" si="13">N11</f>
        <v>0</v>
      </c>
      <c r="O21" s="375">
        <f t="shared" si="13"/>
        <v>0</v>
      </c>
      <c r="P21" s="581"/>
      <c r="Q21" s="17" t="str">
        <f t="shared" si="8"/>
        <v>N/A</v>
      </c>
      <c r="R21" s="17" t="str">
        <f t="shared" si="9"/>
        <v>N/A</v>
      </c>
      <c r="S21" s="17" t="str">
        <f t="shared" si="10"/>
        <v>N/A</v>
      </c>
    </row>
    <row r="22" spans="1:20" s="14" customFormat="1" ht="15.5" x14ac:dyDescent="0.3">
      <c r="A22" s="372"/>
      <c r="B22" s="378"/>
      <c r="C22" s="379">
        <f t="shared" si="11"/>
        <v>0</v>
      </c>
      <c r="D22" s="372"/>
      <c r="E22" s="372"/>
      <c r="F22" s="372"/>
      <c r="G22" s="372"/>
      <c r="H22" s="372"/>
      <c r="I22" s="379">
        <f t="shared" si="12"/>
        <v>0</v>
      </c>
      <c r="J22" s="374"/>
      <c r="K22" s="375">
        <f t="shared" si="6"/>
        <v>0</v>
      </c>
      <c r="L22" s="599"/>
      <c r="M22" s="599"/>
      <c r="N22" s="375">
        <f t="shared" ref="N22:O22" si="14">N12</f>
        <v>0</v>
      </c>
      <c r="O22" s="375">
        <f t="shared" si="14"/>
        <v>0</v>
      </c>
      <c r="P22" s="581"/>
      <c r="Q22" s="17" t="str">
        <f t="shared" si="8"/>
        <v>N/A</v>
      </c>
      <c r="R22" s="17" t="str">
        <f t="shared" si="9"/>
        <v>N/A</v>
      </c>
      <c r="S22" s="17" t="str">
        <f t="shared" si="10"/>
        <v>N/A</v>
      </c>
    </row>
    <row r="23" spans="1:20" s="14" customFormat="1" ht="15.5" x14ac:dyDescent="0.3">
      <c r="A23" s="372"/>
      <c r="B23" s="378"/>
      <c r="C23" s="379">
        <f t="shared" si="11"/>
        <v>0</v>
      </c>
      <c r="D23" s="372"/>
      <c r="E23" s="372"/>
      <c r="F23" s="372"/>
      <c r="G23" s="372"/>
      <c r="H23" s="372"/>
      <c r="I23" s="379">
        <f t="shared" si="12"/>
        <v>0</v>
      </c>
      <c r="J23" s="374"/>
      <c r="K23" s="375">
        <f t="shared" si="6"/>
        <v>0</v>
      </c>
      <c r="L23" s="374"/>
      <c r="M23" s="374"/>
      <c r="N23" s="375">
        <f t="shared" ref="N23:O23" si="15">N13</f>
        <v>0</v>
      </c>
      <c r="O23" s="375">
        <f t="shared" si="15"/>
        <v>0</v>
      </c>
      <c r="P23" s="581"/>
      <c r="Q23" s="17" t="str">
        <f t="shared" si="8"/>
        <v>N/A</v>
      </c>
      <c r="R23" s="17" t="str">
        <f t="shared" si="9"/>
        <v>N/A</v>
      </c>
      <c r="S23" s="17" t="str">
        <f t="shared" si="10"/>
        <v>N/A</v>
      </c>
    </row>
    <row r="24" spans="1:20" s="14" customFormat="1" ht="15.5" x14ac:dyDescent="0.3">
      <c r="A24" s="372"/>
      <c r="B24" s="378"/>
      <c r="C24" s="379">
        <f t="shared" si="11"/>
        <v>0</v>
      </c>
      <c r="D24" s="372"/>
      <c r="E24" s="372"/>
      <c r="F24" s="372"/>
      <c r="G24" s="372"/>
      <c r="H24" s="372"/>
      <c r="I24" s="379">
        <f t="shared" si="12"/>
        <v>0</v>
      </c>
      <c r="J24" s="374"/>
      <c r="K24" s="375">
        <f t="shared" si="6"/>
        <v>0</v>
      </c>
      <c r="L24" s="374"/>
      <c r="M24" s="374"/>
      <c r="N24" s="375">
        <f t="shared" ref="N24:O24" si="16">N14</f>
        <v>0</v>
      </c>
      <c r="O24" s="375">
        <f t="shared" si="16"/>
        <v>0</v>
      </c>
      <c r="P24" s="581"/>
      <c r="Q24" s="17" t="str">
        <f t="shared" si="8"/>
        <v>N/A</v>
      </c>
      <c r="R24" s="17" t="str">
        <f t="shared" si="9"/>
        <v>N/A</v>
      </c>
      <c r="S24" s="17" t="str">
        <f t="shared" si="10"/>
        <v>N/A</v>
      </c>
    </row>
    <row r="25" spans="1:20" s="14" customFormat="1" ht="15.5" x14ac:dyDescent="0.3">
      <c r="A25" s="372"/>
      <c r="B25" s="378"/>
      <c r="C25" s="379">
        <f t="shared" si="11"/>
        <v>0</v>
      </c>
      <c r="D25" s="372"/>
      <c r="E25" s="372"/>
      <c r="F25" s="372"/>
      <c r="G25" s="372"/>
      <c r="H25" s="372"/>
      <c r="I25" s="379">
        <f t="shared" si="12"/>
        <v>0</v>
      </c>
      <c r="J25" s="374"/>
      <c r="K25" s="375">
        <f t="shared" si="6"/>
        <v>0</v>
      </c>
      <c r="L25" s="374"/>
      <c r="M25" s="374"/>
      <c r="N25" s="375">
        <f t="shared" ref="N25:O25" si="17">N15</f>
        <v>0</v>
      </c>
      <c r="O25" s="375">
        <f t="shared" si="17"/>
        <v>0</v>
      </c>
      <c r="P25" s="581"/>
      <c r="Q25" s="17" t="str">
        <f t="shared" si="8"/>
        <v>N/A</v>
      </c>
      <c r="R25" s="17" t="str">
        <f t="shared" si="9"/>
        <v>N/A</v>
      </c>
      <c r="S25" s="17" t="str">
        <f t="shared" si="10"/>
        <v>N/A</v>
      </c>
    </row>
    <row r="26" spans="1:20" s="14" customFormat="1" ht="15.5" x14ac:dyDescent="0.3">
      <c r="A26" s="372"/>
      <c r="B26" s="378"/>
      <c r="C26" s="379">
        <f t="shared" si="11"/>
        <v>0</v>
      </c>
      <c r="D26" s="372"/>
      <c r="E26" s="372"/>
      <c r="F26" s="372"/>
      <c r="G26" s="372"/>
      <c r="H26" s="372"/>
      <c r="I26" s="379">
        <f t="shared" si="12"/>
        <v>0</v>
      </c>
      <c r="J26" s="374"/>
      <c r="K26" s="375">
        <f t="shared" si="6"/>
        <v>0</v>
      </c>
      <c r="L26" s="374"/>
      <c r="M26" s="374"/>
      <c r="N26" s="375">
        <f t="shared" ref="N26:O26" si="18">N16</f>
        <v>0</v>
      </c>
      <c r="O26" s="375">
        <f t="shared" si="18"/>
        <v>0</v>
      </c>
      <c r="P26" s="581"/>
      <c r="Q26" s="17" t="str">
        <f t="shared" si="8"/>
        <v>N/A</v>
      </c>
      <c r="R26" s="17" t="str">
        <f t="shared" si="9"/>
        <v>N/A</v>
      </c>
      <c r="S26" s="17" t="str">
        <f t="shared" si="10"/>
        <v>N/A</v>
      </c>
    </row>
    <row r="27" spans="1:20" s="14" customFormat="1" ht="15.5" x14ac:dyDescent="0.3">
      <c r="A27" s="372" t="s">
        <v>332</v>
      </c>
      <c r="B27" s="373"/>
      <c r="C27" s="379">
        <f t="shared" si="11"/>
        <v>0</v>
      </c>
      <c r="D27" s="372"/>
      <c r="E27" s="372"/>
      <c r="F27" s="372"/>
      <c r="G27" s="372"/>
      <c r="H27" s="372"/>
      <c r="I27" s="379">
        <f t="shared" si="12"/>
        <v>0</v>
      </c>
      <c r="J27" s="374"/>
      <c r="K27" s="375">
        <f t="shared" si="6"/>
        <v>0</v>
      </c>
      <c r="L27" s="375"/>
      <c r="M27" s="375"/>
      <c r="N27" s="375"/>
      <c r="O27" s="375"/>
      <c r="P27" s="286"/>
      <c r="Q27" s="17" t="str">
        <f t="shared" si="8"/>
        <v>N/A</v>
      </c>
      <c r="R27" s="17" t="str">
        <f t="shared" si="9"/>
        <v>N/A</v>
      </c>
      <c r="S27" s="17" t="str">
        <f t="shared" si="10"/>
        <v>N/A</v>
      </c>
    </row>
    <row r="28" spans="1:20" s="481" customFormat="1" ht="18" x14ac:dyDescent="0.3">
      <c r="A28" s="498" t="s">
        <v>333</v>
      </c>
      <c r="B28" s="499"/>
      <c r="C28" s="500">
        <f>C9-C19</f>
        <v>0</v>
      </c>
      <c r="D28" s="500">
        <f t="shared" ref="D28:J28" si="19">D9-D19</f>
        <v>0</v>
      </c>
      <c r="E28" s="500">
        <f t="shared" si="19"/>
        <v>0</v>
      </c>
      <c r="F28" s="500">
        <f t="shared" si="19"/>
        <v>0</v>
      </c>
      <c r="G28" s="500">
        <f t="shared" si="19"/>
        <v>0</v>
      </c>
      <c r="H28" s="500">
        <f t="shared" si="19"/>
        <v>0</v>
      </c>
      <c r="I28" s="500">
        <f t="shared" ref="I28" si="20">I9-I19</f>
        <v>0</v>
      </c>
      <c r="J28" s="501">
        <f t="shared" si="19"/>
        <v>0</v>
      </c>
      <c r="K28" s="501">
        <f t="shared" si="6"/>
        <v>0</v>
      </c>
      <c r="L28" s="501"/>
      <c r="M28" s="501"/>
      <c r="N28" s="491"/>
      <c r="O28" s="492"/>
      <c r="P28" s="595"/>
    </row>
    <row r="29" spans="1:20" s="14" customFormat="1" ht="15.5" x14ac:dyDescent="0.3">
      <c r="A29" s="241" t="s">
        <v>355</v>
      </c>
      <c r="B29" s="380"/>
      <c r="C29" s="372"/>
      <c r="D29" s="372"/>
      <c r="E29" s="372"/>
      <c r="F29" s="372"/>
      <c r="G29" s="372"/>
      <c r="H29" s="372"/>
      <c r="I29" s="372"/>
      <c r="J29" s="374"/>
      <c r="K29" s="375">
        <f t="shared" ref="K29:K42" si="21">SUM(C29:J29)</f>
        <v>0</v>
      </c>
      <c r="L29" s="375"/>
      <c r="M29" s="375"/>
      <c r="N29" s="16"/>
      <c r="O29" s="376"/>
      <c r="P29" s="311"/>
      <c r="Q29" s="17"/>
      <c r="R29" s="17"/>
      <c r="S29" s="17"/>
    </row>
    <row r="30" spans="1:20" s="14" customFormat="1" ht="15.5" x14ac:dyDescent="0.3">
      <c r="A30" s="228" t="s">
        <v>356</v>
      </c>
      <c r="B30" s="380"/>
      <c r="C30" s="372"/>
      <c r="D30" s="372"/>
      <c r="E30" s="372"/>
      <c r="F30" s="372"/>
      <c r="G30" s="372"/>
      <c r="H30" s="372"/>
      <c r="I30" s="372"/>
      <c r="J30" s="374"/>
      <c r="K30" s="375">
        <f t="shared" si="21"/>
        <v>0</v>
      </c>
      <c r="L30" s="375"/>
      <c r="M30" s="375"/>
      <c r="N30" s="16"/>
      <c r="O30" s="376"/>
      <c r="P30" s="311"/>
      <c r="Q30" s="17"/>
      <c r="R30" s="17"/>
      <c r="S30" s="17"/>
    </row>
    <row r="31" spans="1:20" s="481" customFormat="1" ht="18" x14ac:dyDescent="0.3">
      <c r="A31" s="498" t="s">
        <v>334</v>
      </c>
      <c r="B31" s="499"/>
      <c r="C31" s="500">
        <f>C28-SUM(C29:C30)</f>
        <v>0</v>
      </c>
      <c r="D31" s="500">
        <f t="shared" ref="D31:J31" si="22">D28-SUM(D29:D30)</f>
        <v>0</v>
      </c>
      <c r="E31" s="500">
        <f t="shared" si="22"/>
        <v>0</v>
      </c>
      <c r="F31" s="500">
        <f t="shared" si="22"/>
        <v>0</v>
      </c>
      <c r="G31" s="500">
        <f t="shared" si="22"/>
        <v>0</v>
      </c>
      <c r="H31" s="500">
        <f t="shared" si="22"/>
        <v>0</v>
      </c>
      <c r="I31" s="500">
        <f t="shared" si="22"/>
        <v>0</v>
      </c>
      <c r="J31" s="501">
        <f t="shared" si="22"/>
        <v>0</v>
      </c>
      <c r="K31" s="501">
        <f>SUM(C31:J31)</f>
        <v>0</v>
      </c>
      <c r="L31" s="551"/>
      <c r="M31" s="551"/>
      <c r="N31" s="502"/>
      <c r="O31" s="503"/>
      <c r="P31" s="595"/>
    </row>
    <row r="32" spans="1:20" s="221" customFormat="1" ht="37.5" customHeight="1" x14ac:dyDescent="0.3">
      <c r="A32" s="377" t="s">
        <v>335</v>
      </c>
      <c r="B32" s="381" t="s">
        <v>336</v>
      </c>
      <c r="C32" s="473">
        <f>IFERROR(SUM(C33:C42),"N/A")</f>
        <v>0</v>
      </c>
      <c r="D32" s="473">
        <f t="shared" ref="D32:J32" si="23">IFERROR(SUM(D33:D42),"N/A")</f>
        <v>0</v>
      </c>
      <c r="E32" s="473">
        <f t="shared" si="23"/>
        <v>0</v>
      </c>
      <c r="F32" s="473">
        <f t="shared" si="23"/>
        <v>0</v>
      </c>
      <c r="G32" s="473">
        <f t="shared" si="23"/>
        <v>0</v>
      </c>
      <c r="H32" s="473">
        <f t="shared" si="23"/>
        <v>0</v>
      </c>
      <c r="I32" s="473">
        <f t="shared" si="23"/>
        <v>0</v>
      </c>
      <c r="J32" s="474">
        <f t="shared" si="23"/>
        <v>0</v>
      </c>
      <c r="K32" s="474">
        <f>SUM(C32:J32)</f>
        <v>0</v>
      </c>
      <c r="L32" s="552"/>
      <c r="M32" s="552"/>
      <c r="N32" s="16"/>
      <c r="O32" s="376"/>
      <c r="P32" s="311"/>
      <c r="Q32" s="15" t="str">
        <f>IF(SUM(Q33:Q39)=100%,"OK","!")</f>
        <v>!</v>
      </c>
      <c r="R32" s="15" t="str">
        <f t="shared" ref="R32:S32" si="24">IF(SUM(R33:R39)=100%,"OK","!")</f>
        <v>!</v>
      </c>
      <c r="S32" s="15" t="str">
        <f t="shared" si="24"/>
        <v>!</v>
      </c>
      <c r="T32" s="382"/>
    </row>
    <row r="33" spans="1:20" s="221" customFormat="1" ht="15.5" x14ac:dyDescent="0.3">
      <c r="A33" s="241" t="s">
        <v>337</v>
      </c>
      <c r="B33" s="383"/>
      <c r="C33" s="372"/>
      <c r="D33" s="372"/>
      <c r="E33" s="372"/>
      <c r="F33" s="372"/>
      <c r="G33" s="372"/>
      <c r="H33" s="372"/>
      <c r="I33" s="372"/>
      <c r="J33" s="374"/>
      <c r="K33" s="375">
        <f t="shared" si="21"/>
        <v>0</v>
      </c>
      <c r="L33" s="375"/>
      <c r="M33" s="375"/>
      <c r="N33" s="16"/>
      <c r="O33" s="376"/>
      <c r="P33" s="311"/>
      <c r="Q33" s="17" t="str">
        <f>IFERROR(C33/$C$32,"N/A")</f>
        <v>N/A</v>
      </c>
      <c r="R33" s="17" t="str">
        <f t="shared" ref="R33:R39" si="25">IFERROR(D33/$D$32,"N/A")</f>
        <v>N/A</v>
      </c>
      <c r="S33" s="17" t="str">
        <f t="shared" ref="S33:S39" si="26">IFERROR(J33/$J$32,"N/A")</f>
        <v>N/A</v>
      </c>
      <c r="T33" s="382"/>
    </row>
    <row r="34" spans="1:20" s="14" customFormat="1" ht="33.65" customHeight="1" x14ac:dyDescent="0.3">
      <c r="A34" s="241" t="s">
        <v>338</v>
      </c>
      <c r="B34" s="380"/>
      <c r="C34" s="372">
        <f>'Sources de financement'!E174</f>
        <v>0</v>
      </c>
      <c r="D34" s="372">
        <f>'Sources de financement'!F174</f>
        <v>0</v>
      </c>
      <c r="E34" s="372">
        <f>'Sources de financement'!G174</f>
        <v>0</v>
      </c>
      <c r="F34" s="372">
        <f>'Sources de financement'!H174</f>
        <v>0</v>
      </c>
      <c r="G34" s="372">
        <f>'Sources de financement'!I174</f>
        <v>0</v>
      </c>
      <c r="H34" s="372">
        <f>'Sources de financement'!J174</f>
        <v>0</v>
      </c>
      <c r="I34" s="372">
        <f>'Sources de financement'!K174</f>
        <v>0</v>
      </c>
      <c r="J34" s="374">
        <f>'Sources de financement'!L174</f>
        <v>0</v>
      </c>
      <c r="K34" s="375">
        <f>SUM(C34:J34)</f>
        <v>0</v>
      </c>
      <c r="L34" s="375"/>
      <c r="M34" s="375"/>
      <c r="N34" s="212"/>
      <c r="O34" s="376"/>
      <c r="P34" s="311"/>
      <c r="Q34" s="17" t="str">
        <f t="shared" ref="Q34:Q39" si="27">IFERROR(C34/$C$32,"N/A")</f>
        <v>N/A</v>
      </c>
      <c r="R34" s="17" t="str">
        <f t="shared" si="25"/>
        <v>N/A</v>
      </c>
      <c r="S34" s="17" t="str">
        <f t="shared" si="26"/>
        <v>N/A</v>
      </c>
    </row>
    <row r="35" spans="1:20" s="14" customFormat="1" ht="15.5" x14ac:dyDescent="0.3">
      <c r="A35" s="241" t="s">
        <v>339</v>
      </c>
      <c r="B35" s="380"/>
      <c r="C35" s="372"/>
      <c r="D35" s="372"/>
      <c r="E35" s="372"/>
      <c r="F35" s="372"/>
      <c r="G35" s="372"/>
      <c r="H35" s="372"/>
      <c r="I35" s="372"/>
      <c r="J35" s="374"/>
      <c r="K35" s="375">
        <f t="shared" si="21"/>
        <v>0</v>
      </c>
      <c r="L35" s="375"/>
      <c r="M35" s="375"/>
      <c r="N35" s="16"/>
      <c r="O35" s="376"/>
      <c r="P35" s="311"/>
      <c r="Q35" s="17" t="str">
        <f t="shared" si="27"/>
        <v>N/A</v>
      </c>
      <c r="R35" s="17" t="str">
        <f t="shared" si="25"/>
        <v>N/A</v>
      </c>
      <c r="S35" s="17" t="str">
        <f t="shared" si="26"/>
        <v>N/A</v>
      </c>
    </row>
    <row r="36" spans="1:20" s="14" customFormat="1" ht="15.5" x14ac:dyDescent="0.3">
      <c r="A36" s="241" t="s">
        <v>340</v>
      </c>
      <c r="B36" s="380"/>
      <c r="C36" s="372"/>
      <c r="D36" s="372"/>
      <c r="E36" s="372"/>
      <c r="F36" s="372"/>
      <c r="G36" s="372"/>
      <c r="H36" s="372"/>
      <c r="I36" s="372"/>
      <c r="J36" s="374"/>
      <c r="K36" s="375">
        <f t="shared" si="21"/>
        <v>0</v>
      </c>
      <c r="L36" s="375"/>
      <c r="M36" s="375"/>
      <c r="N36" s="16"/>
      <c r="O36" s="376"/>
      <c r="P36" s="311"/>
      <c r="Q36" s="17" t="str">
        <f t="shared" si="27"/>
        <v>N/A</v>
      </c>
      <c r="R36" s="17" t="str">
        <f t="shared" si="25"/>
        <v>N/A</v>
      </c>
      <c r="S36" s="17" t="str">
        <f t="shared" si="26"/>
        <v>N/A</v>
      </c>
    </row>
    <row r="37" spans="1:20" s="14" customFormat="1" ht="15.5" x14ac:dyDescent="0.3">
      <c r="A37" s="241" t="s">
        <v>341</v>
      </c>
      <c r="B37" s="380"/>
      <c r="C37" s="372"/>
      <c r="D37" s="372"/>
      <c r="E37" s="372"/>
      <c r="F37" s="372"/>
      <c r="G37" s="372"/>
      <c r="H37" s="372"/>
      <c r="I37" s="372"/>
      <c r="J37" s="374"/>
      <c r="K37" s="375">
        <f t="shared" si="21"/>
        <v>0</v>
      </c>
      <c r="L37" s="375"/>
      <c r="M37" s="375"/>
      <c r="N37" s="16"/>
      <c r="O37" s="376"/>
      <c r="P37" s="311"/>
      <c r="Q37" s="17" t="str">
        <f t="shared" si="27"/>
        <v>N/A</v>
      </c>
      <c r="R37" s="17" t="str">
        <f t="shared" si="25"/>
        <v>N/A</v>
      </c>
      <c r="S37" s="17" t="str">
        <f t="shared" si="26"/>
        <v>N/A</v>
      </c>
    </row>
    <row r="38" spans="1:20" s="14" customFormat="1" ht="15.5" x14ac:dyDescent="0.3">
      <c r="A38" s="241" t="s">
        <v>342</v>
      </c>
      <c r="B38" s="380"/>
      <c r="C38" s="372"/>
      <c r="D38" s="372"/>
      <c r="E38" s="372"/>
      <c r="F38" s="372"/>
      <c r="G38" s="372"/>
      <c r="H38" s="372"/>
      <c r="I38" s="372"/>
      <c r="J38" s="374"/>
      <c r="K38" s="375">
        <f t="shared" si="21"/>
        <v>0</v>
      </c>
      <c r="L38" s="375"/>
      <c r="M38" s="375"/>
      <c r="N38" s="16"/>
      <c r="O38" s="376"/>
      <c r="P38" s="311"/>
      <c r="Q38" s="17" t="str">
        <f t="shared" si="27"/>
        <v>N/A</v>
      </c>
      <c r="R38" s="17" t="str">
        <f t="shared" si="25"/>
        <v>N/A</v>
      </c>
      <c r="S38" s="17" t="str">
        <f t="shared" si="26"/>
        <v>N/A</v>
      </c>
    </row>
    <row r="39" spans="1:20" s="14" customFormat="1" ht="15.5" x14ac:dyDescent="0.3">
      <c r="A39" s="241" t="s">
        <v>343</v>
      </c>
      <c r="B39" s="380"/>
      <c r="C39" s="372"/>
      <c r="D39" s="372"/>
      <c r="E39" s="372"/>
      <c r="F39" s="372"/>
      <c r="G39" s="372"/>
      <c r="H39" s="372"/>
      <c r="I39" s="372"/>
      <c r="J39" s="374"/>
      <c r="K39" s="375">
        <f t="shared" si="21"/>
        <v>0</v>
      </c>
      <c r="L39" s="375"/>
      <c r="M39" s="375"/>
      <c r="N39" s="16"/>
      <c r="O39" s="376"/>
      <c r="P39" s="311"/>
      <c r="Q39" s="17" t="str">
        <f t="shared" si="27"/>
        <v>N/A</v>
      </c>
      <c r="R39" s="17" t="str">
        <f t="shared" si="25"/>
        <v>N/A</v>
      </c>
      <c r="S39" s="17" t="str">
        <f t="shared" si="26"/>
        <v>N/A</v>
      </c>
    </row>
    <row r="40" spans="1:20" s="14" customFormat="1" ht="15.5" x14ac:dyDescent="0.3">
      <c r="A40" s="241"/>
      <c r="B40" s="380"/>
      <c r="C40" s="372"/>
      <c r="D40" s="372"/>
      <c r="E40" s="372"/>
      <c r="F40" s="372"/>
      <c r="G40" s="372"/>
      <c r="H40" s="372"/>
      <c r="I40" s="372"/>
      <c r="J40" s="374"/>
      <c r="K40" s="375">
        <f t="shared" si="21"/>
        <v>0</v>
      </c>
      <c r="L40" s="375"/>
      <c r="M40" s="375"/>
      <c r="N40" s="16"/>
      <c r="O40" s="376"/>
      <c r="P40" s="311"/>
      <c r="Q40" s="17"/>
      <c r="R40" s="17"/>
      <c r="S40" s="17"/>
    </row>
    <row r="41" spans="1:20" s="14" customFormat="1" ht="15.5" x14ac:dyDescent="0.3">
      <c r="A41" s="241"/>
      <c r="B41" s="380"/>
      <c r="C41" s="372"/>
      <c r="D41" s="372"/>
      <c r="E41" s="372"/>
      <c r="F41" s="372"/>
      <c r="G41" s="372"/>
      <c r="H41" s="372"/>
      <c r="I41" s="372"/>
      <c r="J41" s="374"/>
      <c r="K41" s="375">
        <f t="shared" si="21"/>
        <v>0</v>
      </c>
      <c r="L41" s="375"/>
      <c r="M41" s="375"/>
      <c r="N41" s="16"/>
      <c r="O41" s="376"/>
      <c r="P41" s="311"/>
      <c r="Q41" s="17"/>
      <c r="R41" s="17"/>
      <c r="S41" s="17"/>
    </row>
    <row r="42" spans="1:20" s="14" customFormat="1" ht="15.5" x14ac:dyDescent="0.3">
      <c r="A42" s="241"/>
      <c r="B42" s="380"/>
      <c r="C42" s="372"/>
      <c r="D42" s="372"/>
      <c r="E42" s="372"/>
      <c r="F42" s="372"/>
      <c r="G42" s="372"/>
      <c r="H42" s="372"/>
      <c r="I42" s="372"/>
      <c r="J42" s="374"/>
      <c r="K42" s="375">
        <f t="shared" si="21"/>
        <v>0</v>
      </c>
      <c r="L42" s="375"/>
      <c r="M42" s="375"/>
      <c r="N42" s="16"/>
      <c r="O42" s="376"/>
      <c r="P42" s="311"/>
      <c r="Q42" s="17"/>
      <c r="R42" s="17"/>
      <c r="S42" s="17"/>
    </row>
    <row r="43" spans="1:20" s="481" customFormat="1" ht="18" x14ac:dyDescent="0.3">
      <c r="A43" s="498" t="s">
        <v>404</v>
      </c>
      <c r="B43" s="499"/>
      <c r="C43" s="500">
        <f>C31-C32</f>
        <v>0</v>
      </c>
      <c r="D43" s="500">
        <f t="shared" ref="D43:J43" si="28">D31-D32</f>
        <v>0</v>
      </c>
      <c r="E43" s="500">
        <f t="shared" si="28"/>
        <v>0</v>
      </c>
      <c r="F43" s="500">
        <f t="shared" si="28"/>
        <v>0</v>
      </c>
      <c r="G43" s="500">
        <f t="shared" si="28"/>
        <v>0</v>
      </c>
      <c r="H43" s="500">
        <f t="shared" si="28"/>
        <v>0</v>
      </c>
      <c r="I43" s="500">
        <f t="shared" si="28"/>
        <v>0</v>
      </c>
      <c r="J43" s="501">
        <f t="shared" si="28"/>
        <v>0</v>
      </c>
      <c r="K43" s="501">
        <f>SUM(C43:J43)</f>
        <v>0</v>
      </c>
      <c r="L43" s="551"/>
      <c r="M43" s="551"/>
      <c r="N43" s="502"/>
      <c r="O43" s="503"/>
      <c r="P43" s="595"/>
    </row>
    <row r="44" spans="1:20" s="14" customFormat="1" ht="15.5" x14ac:dyDescent="0.3">
      <c r="A44" s="241" t="s">
        <v>344</v>
      </c>
      <c r="B44" s="373"/>
      <c r="C44" s="384">
        <f>'Sources de financement'!E173</f>
        <v>0</v>
      </c>
      <c r="D44" s="384">
        <f>'Sources de financement'!F173</f>
        <v>0</v>
      </c>
      <c r="E44" s="384">
        <f>'Sources de financement'!G173</f>
        <v>0</v>
      </c>
      <c r="F44" s="384">
        <f>'Sources de financement'!H173</f>
        <v>0</v>
      </c>
      <c r="G44" s="384">
        <f>'Sources de financement'!I173</f>
        <v>0</v>
      </c>
      <c r="H44" s="384">
        <f>'Sources de financement'!J173</f>
        <v>0</v>
      </c>
      <c r="I44" s="384">
        <f>'Sources de financement'!K173</f>
        <v>0</v>
      </c>
      <c r="J44" s="384">
        <f>'Sources de financement'!L173</f>
        <v>0</v>
      </c>
      <c r="K44" s="475">
        <f>SUM(C44:J44)</f>
        <v>0</v>
      </c>
      <c r="L44" s="375"/>
      <c r="M44" s="375"/>
      <c r="N44" s="16"/>
      <c r="O44" s="376"/>
      <c r="P44" s="311"/>
    </row>
    <row r="45" spans="1:20" s="481" customFormat="1" ht="18" x14ac:dyDescent="0.3">
      <c r="A45" s="498" t="s">
        <v>405</v>
      </c>
      <c r="B45" s="499"/>
      <c r="C45" s="500">
        <f>C43-C44</f>
        <v>0</v>
      </c>
      <c r="D45" s="500">
        <f t="shared" ref="D45:J45" si="29">D43-D44</f>
        <v>0</v>
      </c>
      <c r="E45" s="500">
        <f t="shared" si="29"/>
        <v>0</v>
      </c>
      <c r="F45" s="500">
        <f t="shared" si="29"/>
        <v>0</v>
      </c>
      <c r="G45" s="500">
        <f t="shared" si="29"/>
        <v>0</v>
      </c>
      <c r="H45" s="500">
        <f t="shared" si="29"/>
        <v>0</v>
      </c>
      <c r="I45" s="500">
        <f t="shared" ref="I45" si="30">I43-I44</f>
        <v>0</v>
      </c>
      <c r="J45" s="501">
        <f t="shared" si="29"/>
        <v>0</v>
      </c>
      <c r="K45" s="501">
        <f>SUM(C45:J45)</f>
        <v>0</v>
      </c>
      <c r="L45" s="551"/>
      <c r="M45" s="551"/>
      <c r="N45" s="502"/>
      <c r="O45" s="503"/>
      <c r="P45" s="595"/>
    </row>
    <row r="46" spans="1:20" s="14" customFormat="1" ht="15.5" x14ac:dyDescent="0.3">
      <c r="A46" s="241" t="s">
        <v>345</v>
      </c>
      <c r="B46" s="373"/>
      <c r="C46" s="379">
        <f>'Sources de financement'!E175</f>
        <v>0</v>
      </c>
      <c r="D46" s="379">
        <f>'Sources de financement'!F175</f>
        <v>0</v>
      </c>
      <c r="E46" s="379">
        <f>'Sources de financement'!G175</f>
        <v>0</v>
      </c>
      <c r="F46" s="379">
        <f>'Sources de financement'!H175</f>
        <v>0</v>
      </c>
      <c r="G46" s="379">
        <f>'Sources de financement'!I175</f>
        <v>0</v>
      </c>
      <c r="H46" s="379">
        <f>'Sources de financement'!J175</f>
        <v>0</v>
      </c>
      <c r="I46" s="379">
        <f>'Sources de financement'!K175</f>
        <v>0</v>
      </c>
      <c r="J46" s="379">
        <f>'Sources de financement'!L175</f>
        <v>0</v>
      </c>
      <c r="K46" s="375">
        <f>SUM(C46:J46)</f>
        <v>0</v>
      </c>
      <c r="L46" s="375"/>
      <c r="M46" s="375"/>
      <c r="N46" s="16"/>
      <c r="O46" s="376"/>
      <c r="P46" s="311"/>
    </row>
    <row r="47" spans="1:20" s="14" customFormat="1" ht="15.5" x14ac:dyDescent="0.3">
      <c r="A47" s="241" t="s">
        <v>346</v>
      </c>
      <c r="B47" s="373"/>
      <c r="C47" s="379">
        <v>0</v>
      </c>
      <c r="D47" s="379">
        <v>0</v>
      </c>
      <c r="E47" s="379">
        <v>0</v>
      </c>
      <c r="F47" s="379">
        <v>0</v>
      </c>
      <c r="G47" s="379">
        <v>0</v>
      </c>
      <c r="H47" s="379">
        <v>0</v>
      </c>
      <c r="I47" s="379">
        <v>0</v>
      </c>
      <c r="J47" s="375">
        <v>0</v>
      </c>
      <c r="K47" s="375">
        <f t="shared" ref="K47:K49" si="31">SUM(C47:J47)</f>
        <v>0</v>
      </c>
      <c r="L47" s="375"/>
      <c r="M47" s="375"/>
      <c r="N47" s="16"/>
      <c r="O47" s="376"/>
      <c r="P47" s="311"/>
    </row>
    <row r="48" spans="1:20" s="14" customFormat="1" ht="15.5" x14ac:dyDescent="0.3">
      <c r="A48" s="241" t="s">
        <v>418</v>
      </c>
      <c r="B48" s="373"/>
      <c r="C48" s="372">
        <v>0</v>
      </c>
      <c r="D48" s="372">
        <v>0</v>
      </c>
      <c r="E48" s="372">
        <v>0</v>
      </c>
      <c r="F48" s="372">
        <v>0</v>
      </c>
      <c r="G48" s="372">
        <v>0</v>
      </c>
      <c r="H48" s="372">
        <v>0</v>
      </c>
      <c r="I48" s="372">
        <v>0</v>
      </c>
      <c r="J48" s="374">
        <v>0</v>
      </c>
      <c r="K48" s="375">
        <f t="shared" si="31"/>
        <v>0</v>
      </c>
      <c r="L48" s="375"/>
      <c r="M48" s="375"/>
      <c r="N48" s="16"/>
      <c r="O48" s="376"/>
      <c r="P48" s="311"/>
    </row>
    <row r="49" spans="1:16" s="14" customFormat="1" ht="15.5" x14ac:dyDescent="0.3">
      <c r="A49" s="241" t="s">
        <v>419</v>
      </c>
      <c r="B49" s="373"/>
      <c r="C49" s="372">
        <v>0</v>
      </c>
      <c r="D49" s="372">
        <v>0</v>
      </c>
      <c r="E49" s="372">
        <v>0</v>
      </c>
      <c r="F49" s="372">
        <v>0</v>
      </c>
      <c r="G49" s="372">
        <v>0</v>
      </c>
      <c r="H49" s="372">
        <v>0</v>
      </c>
      <c r="I49" s="372">
        <v>0</v>
      </c>
      <c r="J49" s="374">
        <v>0</v>
      </c>
      <c r="K49" s="375">
        <f t="shared" si="31"/>
        <v>0</v>
      </c>
      <c r="L49" s="375"/>
      <c r="M49" s="375"/>
      <c r="N49" s="16"/>
      <c r="O49" s="376"/>
      <c r="P49" s="311"/>
    </row>
    <row r="50" spans="1:16" s="481" customFormat="1" ht="18" x14ac:dyDescent="0.3">
      <c r="A50" s="498" t="s">
        <v>406</v>
      </c>
      <c r="B50" s="499"/>
      <c r="C50" s="500">
        <f>C45-C46+C47+C49-C48</f>
        <v>0</v>
      </c>
      <c r="D50" s="500">
        <f t="shared" ref="D50:J50" si="32">D45-D46+D47+D49-D48</f>
        <v>0</v>
      </c>
      <c r="E50" s="500">
        <f t="shared" si="32"/>
        <v>0</v>
      </c>
      <c r="F50" s="500">
        <f t="shared" si="32"/>
        <v>0</v>
      </c>
      <c r="G50" s="500">
        <f t="shared" si="32"/>
        <v>0</v>
      </c>
      <c r="H50" s="500">
        <f t="shared" si="32"/>
        <v>0</v>
      </c>
      <c r="I50" s="500">
        <f t="shared" si="32"/>
        <v>0</v>
      </c>
      <c r="J50" s="500">
        <f t="shared" si="32"/>
        <v>0</v>
      </c>
      <c r="K50" s="501">
        <f>SUM(C50:J50)</f>
        <v>0</v>
      </c>
      <c r="L50" s="551"/>
      <c r="M50" s="551"/>
      <c r="N50" s="502"/>
      <c r="O50" s="503"/>
      <c r="P50" s="595"/>
    </row>
    <row r="51" spans="1:16" s="14" customFormat="1" ht="15.5" x14ac:dyDescent="0.3">
      <c r="A51" s="241" t="s">
        <v>347</v>
      </c>
      <c r="B51" s="373"/>
      <c r="C51" s="372"/>
      <c r="D51" s="372"/>
      <c r="E51" s="372"/>
      <c r="F51" s="372"/>
      <c r="G51" s="372"/>
      <c r="H51" s="372"/>
      <c r="I51" s="372"/>
      <c r="J51" s="374"/>
      <c r="K51" s="375">
        <f>SUM(C51:J51)</f>
        <v>0</v>
      </c>
      <c r="L51" s="375"/>
      <c r="M51" s="375"/>
      <c r="N51" s="16"/>
      <c r="O51" s="376"/>
      <c r="P51" s="311"/>
    </row>
    <row r="52" spans="1:16" s="481" customFormat="1" ht="18" x14ac:dyDescent="0.3">
      <c r="A52" s="504" t="s">
        <v>313</v>
      </c>
      <c r="B52" s="505"/>
      <c r="C52" s="506">
        <f t="shared" ref="C52:J52" si="33">C50-C51</f>
        <v>0</v>
      </c>
      <c r="D52" s="506">
        <f t="shared" si="33"/>
        <v>0</v>
      </c>
      <c r="E52" s="506">
        <f t="shared" si="33"/>
        <v>0</v>
      </c>
      <c r="F52" s="506">
        <f t="shared" si="33"/>
        <v>0</v>
      </c>
      <c r="G52" s="506">
        <f t="shared" si="33"/>
        <v>0</v>
      </c>
      <c r="H52" s="506">
        <f t="shared" si="33"/>
        <v>0</v>
      </c>
      <c r="I52" s="506">
        <f t="shared" ref="I52" si="34">I50-I51</f>
        <v>0</v>
      </c>
      <c r="J52" s="507">
        <f t="shared" si="33"/>
        <v>0</v>
      </c>
      <c r="K52" s="501">
        <f>SUM(C52:J52)</f>
        <v>0</v>
      </c>
      <c r="L52" s="551"/>
      <c r="M52" s="551"/>
      <c r="N52" s="502"/>
      <c r="O52" s="503"/>
      <c r="P52" s="595"/>
    </row>
    <row r="53" spans="1:16" s="481" customFormat="1" ht="18.5" thickBot="1" x14ac:dyDescent="0.35">
      <c r="A53" s="508" t="s">
        <v>348</v>
      </c>
      <c r="B53" s="509"/>
      <c r="C53" s="510">
        <f>C52</f>
        <v>0</v>
      </c>
      <c r="D53" s="510">
        <f t="shared" ref="D53:I53" si="35">C53+D52</f>
        <v>0</v>
      </c>
      <c r="E53" s="510">
        <f t="shared" si="35"/>
        <v>0</v>
      </c>
      <c r="F53" s="510">
        <f t="shared" si="35"/>
        <v>0</v>
      </c>
      <c r="G53" s="510">
        <f t="shared" si="35"/>
        <v>0</v>
      </c>
      <c r="H53" s="510">
        <f t="shared" si="35"/>
        <v>0</v>
      </c>
      <c r="I53" s="510">
        <f t="shared" si="35"/>
        <v>0</v>
      </c>
      <c r="J53" s="511">
        <f>H53+J52</f>
        <v>0</v>
      </c>
      <c r="K53" s="511"/>
      <c r="L53" s="553"/>
      <c r="M53" s="553"/>
      <c r="N53" s="502"/>
      <c r="O53" s="503"/>
      <c r="P53" s="595"/>
    </row>
    <row r="54" spans="1:16" s="14" customFormat="1" ht="16" thickTop="1" x14ac:dyDescent="0.3">
      <c r="A54" s="228"/>
      <c r="B54" s="228"/>
      <c r="C54" s="384"/>
      <c r="D54" s="384"/>
      <c r="E54" s="384"/>
      <c r="F54" s="384"/>
      <c r="G54" s="384"/>
      <c r="H54" s="384"/>
      <c r="I54" s="379"/>
      <c r="M54" s="221"/>
      <c r="P54" s="4"/>
    </row>
    <row r="55" spans="1:16" s="18" customFormat="1" ht="15.5" hidden="1" x14ac:dyDescent="0.35">
      <c r="A55" s="385" t="s">
        <v>349</v>
      </c>
      <c r="B55" s="386" t="s">
        <v>350</v>
      </c>
      <c r="C55" s="386"/>
      <c r="D55" s="386"/>
      <c r="E55" s="386"/>
      <c r="F55" s="386"/>
      <c r="G55" s="386"/>
      <c r="H55" s="386"/>
      <c r="I55" s="386"/>
      <c r="J55" s="386"/>
      <c r="N55" s="14"/>
      <c r="P55" s="592"/>
    </row>
    <row r="56" spans="1:16" s="18" customFormat="1" ht="15.5" hidden="1" x14ac:dyDescent="0.35">
      <c r="A56" s="18" t="s">
        <v>351</v>
      </c>
      <c r="B56" s="387">
        <v>0</v>
      </c>
      <c r="C56" s="476">
        <f>(C9+C9*$B$56)</f>
        <v>0</v>
      </c>
      <c r="D56" s="476">
        <f t="shared" ref="D56:J56" si="36">(D9+D9*$B$56)</f>
        <v>0</v>
      </c>
      <c r="E56" s="476">
        <f t="shared" si="36"/>
        <v>0</v>
      </c>
      <c r="F56" s="476">
        <f t="shared" si="36"/>
        <v>0</v>
      </c>
      <c r="G56" s="476">
        <f t="shared" si="36"/>
        <v>0</v>
      </c>
      <c r="H56" s="476">
        <f t="shared" si="36"/>
        <v>0</v>
      </c>
      <c r="I56" s="476">
        <f t="shared" si="36"/>
        <v>0</v>
      </c>
      <c r="J56" s="476">
        <f t="shared" si="36"/>
        <v>0</v>
      </c>
      <c r="N56" s="14"/>
      <c r="P56" s="592"/>
    </row>
    <row r="57" spans="1:16" s="18" customFormat="1" ht="15.5" hidden="1" x14ac:dyDescent="0.35">
      <c r="A57" s="18" t="s">
        <v>352</v>
      </c>
      <c r="B57" s="387">
        <v>0</v>
      </c>
      <c r="C57" s="476">
        <f t="shared" ref="C57:J57" si="37">C19+C19*$B$57</f>
        <v>0</v>
      </c>
      <c r="D57" s="476">
        <f t="shared" si="37"/>
        <v>0</v>
      </c>
      <c r="E57" s="476">
        <f t="shared" si="37"/>
        <v>0</v>
      </c>
      <c r="F57" s="476">
        <f t="shared" si="37"/>
        <v>0</v>
      </c>
      <c r="G57" s="476">
        <f t="shared" si="37"/>
        <v>0</v>
      </c>
      <c r="H57" s="476">
        <f t="shared" si="37"/>
        <v>0</v>
      </c>
      <c r="I57" s="476">
        <f t="shared" si="37"/>
        <v>0</v>
      </c>
      <c r="J57" s="476">
        <f t="shared" si="37"/>
        <v>0</v>
      </c>
      <c r="N57" s="14"/>
      <c r="P57" s="592"/>
    </row>
    <row r="58" spans="1:16" s="18" customFormat="1" ht="15.5" hidden="1" x14ac:dyDescent="0.35">
      <c r="A58" s="18" t="s">
        <v>353</v>
      </c>
      <c r="B58" s="387">
        <v>0</v>
      </c>
      <c r="C58" s="476">
        <f t="shared" ref="C58:J58" si="38">C29+C29*$B$58</f>
        <v>0</v>
      </c>
      <c r="D58" s="476">
        <f t="shared" si="38"/>
        <v>0</v>
      </c>
      <c r="E58" s="476">
        <f t="shared" si="38"/>
        <v>0</v>
      </c>
      <c r="F58" s="476">
        <f t="shared" si="38"/>
        <v>0</v>
      </c>
      <c r="G58" s="476">
        <f t="shared" si="38"/>
        <v>0</v>
      </c>
      <c r="H58" s="476">
        <f t="shared" si="38"/>
        <v>0</v>
      </c>
      <c r="I58" s="476">
        <f t="shared" si="38"/>
        <v>0</v>
      </c>
      <c r="J58" s="476">
        <f t="shared" si="38"/>
        <v>0</v>
      </c>
      <c r="N58" s="14"/>
      <c r="P58" s="592"/>
    </row>
    <row r="59" spans="1:16" s="18" customFormat="1" ht="15.5" hidden="1" x14ac:dyDescent="0.35">
      <c r="A59" s="18" t="s">
        <v>354</v>
      </c>
      <c r="B59" s="387">
        <v>0</v>
      </c>
      <c r="C59" s="476">
        <f>C32+C32*$B$59</f>
        <v>0</v>
      </c>
      <c r="D59" s="476">
        <f>D32+D32*$B$59</f>
        <v>0</v>
      </c>
      <c r="E59" s="476">
        <f t="shared" ref="E59:J59" si="39">E32+E32*$B$59</f>
        <v>0</v>
      </c>
      <c r="F59" s="476">
        <f t="shared" si="39"/>
        <v>0</v>
      </c>
      <c r="G59" s="476">
        <f t="shared" si="39"/>
        <v>0</v>
      </c>
      <c r="H59" s="476">
        <f t="shared" si="39"/>
        <v>0</v>
      </c>
      <c r="I59" s="476">
        <f t="shared" si="39"/>
        <v>0</v>
      </c>
      <c r="J59" s="476">
        <f t="shared" si="39"/>
        <v>0</v>
      </c>
      <c r="N59" s="14"/>
      <c r="P59" s="592"/>
    </row>
    <row r="60" spans="1:16" s="18" customFormat="1" ht="16" hidden="1" thickBot="1" x14ac:dyDescent="0.4">
      <c r="A60" s="388" t="s">
        <v>313</v>
      </c>
      <c r="B60" s="389"/>
      <c r="C60" s="477">
        <f>C56-C57-C58-C59-C44-C46+C47-C48+C49-C51</f>
        <v>0</v>
      </c>
      <c r="D60" s="477">
        <f t="shared" ref="D60:J60" si="40">D56-D57-D58-D59-D44-D46+D47-D48+D49-D51</f>
        <v>0</v>
      </c>
      <c r="E60" s="477">
        <f t="shared" si="40"/>
        <v>0</v>
      </c>
      <c r="F60" s="477">
        <f t="shared" si="40"/>
        <v>0</v>
      </c>
      <c r="G60" s="477">
        <f t="shared" si="40"/>
        <v>0</v>
      </c>
      <c r="H60" s="477">
        <f t="shared" si="40"/>
        <v>0</v>
      </c>
      <c r="I60" s="477">
        <f t="shared" ref="I60" si="41">I56-I57-I58-I59-I44-I46+I47-I48+I49-I51</f>
        <v>0</v>
      </c>
      <c r="J60" s="477">
        <f t="shared" si="40"/>
        <v>0</v>
      </c>
      <c r="N60" s="14"/>
      <c r="P60" s="592"/>
    </row>
    <row r="61" spans="1:16" s="11" customFormat="1" ht="15.5" x14ac:dyDescent="0.35">
      <c r="P61" s="250"/>
    </row>
  </sheetData>
  <sheetProtection formatCells="0"/>
  <mergeCells count="1">
    <mergeCell ref="A4:O4"/>
  </mergeCells>
  <pageMargins left="0.70866141732283472" right="0.70866141732283472" top="0.78740157480314965" bottom="0.78740157480314965" header="0.31496062992125984" footer="0.31496062992125984"/>
  <pageSetup paperSize="9" scale="39" fitToWidth="0" fitToHeight="0" orientation="landscape" r:id="rId1"/>
  <ignoredErrors>
    <ignoredError sqref="Q9:S51"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G177"/>
  <sheetViews>
    <sheetView showGridLines="0" zoomScale="85" zoomScaleNormal="85" zoomScaleSheetLayoutView="55" zoomScalePageLayoutView="10" workbookViewId="0">
      <selection activeCell="A6" sqref="A6"/>
    </sheetView>
  </sheetViews>
  <sheetFormatPr baseColWidth="10" defaultColWidth="11" defaultRowHeight="15.5" outlineLevelRow="1" outlineLevelCol="1" x14ac:dyDescent="0.35"/>
  <cols>
    <col min="1" max="1" width="39" style="11" customWidth="1"/>
    <col min="2" max="2" width="50.33203125" style="11" customWidth="1"/>
    <col min="3" max="3" width="14.25" style="11" customWidth="1"/>
    <col min="4" max="4" width="11.75" style="11" customWidth="1"/>
    <col min="5" max="5" width="15.58203125" style="11" customWidth="1"/>
    <col min="6" max="10" width="15.58203125" style="11" customWidth="1" outlineLevel="1"/>
    <col min="11" max="11" width="15.58203125" style="11" customWidth="1"/>
    <col min="12" max="13" width="16.83203125" style="11" customWidth="1"/>
    <col min="14" max="14" width="13.83203125" style="11" customWidth="1"/>
    <col min="15" max="15" width="14.33203125" style="11" customWidth="1"/>
    <col min="16" max="16384" width="11" style="11"/>
  </cols>
  <sheetData>
    <row r="1" spans="1:33" s="392" customFormat="1" ht="28" customHeight="1" x14ac:dyDescent="0.3">
      <c r="A1" s="367" t="s">
        <v>476</v>
      </c>
      <c r="B1" s="12"/>
      <c r="C1" s="12"/>
      <c r="D1" s="12"/>
      <c r="E1" s="12"/>
      <c r="F1" s="12"/>
      <c r="G1" s="12"/>
      <c r="H1" s="12"/>
      <c r="I1" s="12"/>
      <c r="J1" s="12"/>
      <c r="K1" s="12"/>
      <c r="L1" s="12"/>
      <c r="M1" s="12"/>
      <c r="N1" s="12"/>
      <c r="O1" s="12"/>
      <c r="P1" s="12"/>
      <c r="Q1" s="12"/>
      <c r="R1" s="12"/>
      <c r="S1" s="12"/>
      <c r="T1" s="12"/>
      <c r="U1" s="12"/>
      <c r="V1" s="12"/>
      <c r="W1" s="391"/>
      <c r="X1" s="12"/>
      <c r="Y1" s="12"/>
      <c r="Z1" s="12"/>
      <c r="AA1" s="12"/>
      <c r="AB1" s="12"/>
      <c r="AC1" s="12"/>
      <c r="AD1" s="12"/>
    </row>
    <row r="2" spans="1:33" s="219" customFormat="1" x14ac:dyDescent="0.35">
      <c r="A2" s="216" t="s">
        <v>275</v>
      </c>
      <c r="B2" s="217" t="str">
        <f>IF('Vue d''ensemble'!B2=0,"",'Vue d''ensemble'!B2)</f>
        <v/>
      </c>
      <c r="C2" s="216" t="s">
        <v>276</v>
      </c>
      <c r="D2" s="220"/>
      <c r="F2" s="218"/>
      <c r="G2" s="218"/>
      <c r="H2" s="218"/>
      <c r="I2" s="218"/>
      <c r="J2" s="218"/>
      <c r="K2" s="218"/>
      <c r="N2" s="11"/>
      <c r="O2" s="11"/>
      <c r="P2" s="11"/>
      <c r="Q2" s="11"/>
      <c r="R2" s="11"/>
      <c r="S2" s="11"/>
      <c r="T2" s="11"/>
      <c r="U2" s="11"/>
      <c r="V2" s="11"/>
      <c r="W2" s="11"/>
      <c r="X2" s="11"/>
      <c r="Y2" s="11"/>
      <c r="Z2" s="11"/>
      <c r="AA2" s="11"/>
      <c r="AB2" s="11"/>
      <c r="AC2" s="11"/>
    </row>
    <row r="3" spans="1:33" s="219" customFormat="1" x14ac:dyDescent="0.35">
      <c r="A3" s="216"/>
      <c r="B3" s="217"/>
      <c r="C3" s="218"/>
      <c r="E3" s="217"/>
      <c r="F3" s="218"/>
      <c r="G3" s="218"/>
      <c r="H3" s="218"/>
      <c r="I3" s="218"/>
      <c r="J3" s="218"/>
      <c r="K3" s="218"/>
      <c r="N3" s="11"/>
      <c r="O3" s="11"/>
      <c r="P3" s="11"/>
      <c r="Q3" s="11"/>
      <c r="R3" s="11"/>
      <c r="S3" s="11"/>
      <c r="T3" s="11"/>
      <c r="U3" s="11"/>
      <c r="V3" s="11"/>
      <c r="W3" s="11"/>
      <c r="X3" s="11"/>
      <c r="Y3" s="11"/>
      <c r="Z3" s="11"/>
      <c r="AA3" s="11"/>
      <c r="AB3" s="11"/>
      <c r="AC3" s="11"/>
    </row>
    <row r="4" spans="1:33" s="482" customFormat="1" ht="18" x14ac:dyDescent="0.35">
      <c r="A4" s="480" t="s">
        <v>281</v>
      </c>
      <c r="B4" s="479"/>
      <c r="C4" s="479"/>
      <c r="D4" s="479"/>
      <c r="E4" s="479"/>
      <c r="F4" s="479"/>
      <c r="G4" s="479"/>
      <c r="H4" s="480"/>
      <c r="I4" s="479"/>
      <c r="J4" s="479"/>
      <c r="K4" s="479"/>
      <c r="L4" s="479"/>
      <c r="M4" s="479"/>
      <c r="N4" s="479"/>
      <c r="O4" s="479"/>
      <c r="P4" s="11"/>
      <c r="Q4" s="11"/>
      <c r="R4" s="11"/>
      <c r="S4" s="11"/>
      <c r="T4" s="11"/>
      <c r="U4" s="481"/>
      <c r="V4" s="481"/>
      <c r="W4" s="481"/>
      <c r="X4" s="481"/>
      <c r="Y4" s="481"/>
      <c r="Z4" s="481"/>
      <c r="AA4" s="481"/>
      <c r="AB4" s="481"/>
      <c r="AC4" s="481"/>
      <c r="AD4" s="485"/>
      <c r="AE4" s="485"/>
      <c r="AF4" s="485"/>
      <c r="AG4" s="485"/>
    </row>
    <row r="5" spans="1:33" s="18" customFormat="1" ht="118.5" customHeight="1" outlineLevel="1" thickBot="1" x14ac:dyDescent="0.4">
      <c r="A5" s="716" t="s">
        <v>485</v>
      </c>
      <c r="B5" s="717"/>
      <c r="C5" s="717"/>
      <c r="D5" s="717"/>
      <c r="E5" s="717"/>
      <c r="F5" s="717"/>
      <c r="G5" s="717"/>
      <c r="H5" s="717"/>
      <c r="I5" s="717"/>
      <c r="J5" s="717"/>
      <c r="K5" s="717"/>
      <c r="L5" s="717"/>
      <c r="M5" s="717"/>
      <c r="N5" s="717"/>
      <c r="O5" s="718"/>
      <c r="P5" s="11"/>
      <c r="Q5" s="11"/>
      <c r="R5" s="11"/>
      <c r="S5" s="11"/>
      <c r="T5" s="11"/>
      <c r="U5" s="11"/>
      <c r="V5" s="11"/>
      <c r="W5" s="11"/>
      <c r="X5" s="11"/>
      <c r="Y5" s="11"/>
      <c r="Z5" s="11"/>
      <c r="AA5" s="11"/>
      <c r="AB5" s="11"/>
      <c r="AC5" s="11"/>
    </row>
    <row r="6" spans="1:33" s="18" customFormat="1" ht="16" thickTop="1" x14ac:dyDescent="0.35">
      <c r="A6" s="618"/>
      <c r="B6" s="618"/>
      <c r="C6" s="618"/>
      <c r="D6" s="618"/>
      <c r="E6" s="618"/>
      <c r="F6" s="618"/>
      <c r="G6" s="618"/>
      <c r="H6" s="618"/>
      <c r="I6" s="618"/>
      <c r="J6" s="618"/>
      <c r="K6" s="618"/>
      <c r="L6" s="618"/>
      <c r="M6" s="618"/>
      <c r="N6" s="11"/>
      <c r="O6" s="11"/>
      <c r="P6" s="11"/>
      <c r="Q6" s="11"/>
      <c r="R6" s="11"/>
      <c r="S6" s="11"/>
      <c r="T6" s="11"/>
      <c r="U6" s="11"/>
      <c r="V6" s="11"/>
      <c r="W6" s="11"/>
      <c r="X6" s="11"/>
      <c r="Y6" s="11"/>
      <c r="Z6" s="11"/>
      <c r="AA6" s="11"/>
      <c r="AB6" s="11"/>
      <c r="AC6" s="11"/>
    </row>
    <row r="7" spans="1:33" s="18" customFormat="1" x14ac:dyDescent="0.35">
      <c r="A7" s="222" t="s">
        <v>285</v>
      </c>
      <c r="B7" s="223" t="s">
        <v>286</v>
      </c>
      <c r="C7" s="221"/>
      <c r="D7" s="221"/>
      <c r="E7" s="221"/>
      <c r="F7" s="221"/>
      <c r="G7" s="221"/>
      <c r="H7" s="221"/>
      <c r="N7" s="11"/>
      <c r="O7" s="11"/>
      <c r="P7" s="11"/>
      <c r="Q7" s="11"/>
      <c r="R7" s="11"/>
      <c r="S7" s="11"/>
      <c r="T7" s="11"/>
      <c r="U7" s="11"/>
      <c r="V7" s="11"/>
      <c r="W7" s="11"/>
      <c r="X7" s="11"/>
      <c r="Y7" s="11"/>
      <c r="Z7" s="11"/>
      <c r="AA7" s="11"/>
      <c r="AB7" s="11"/>
      <c r="AC7" s="11"/>
    </row>
    <row r="9" spans="1:33" ht="5.15" customHeight="1" x14ac:dyDescent="0.35">
      <c r="A9" s="241"/>
      <c r="B9" s="228"/>
      <c r="E9" s="242"/>
      <c r="F9" s="242"/>
      <c r="G9" s="242"/>
      <c r="H9" s="242"/>
      <c r="I9" s="242"/>
      <c r="J9" s="242"/>
      <c r="K9" s="242"/>
      <c r="L9" s="242"/>
      <c r="M9" s="242"/>
    </row>
    <row r="10" spans="1:33" ht="7.5" customHeight="1" x14ac:dyDescent="0.35">
      <c r="A10" s="228"/>
      <c r="C10" s="243"/>
      <c r="D10" s="244"/>
      <c r="E10" s="244"/>
      <c r="F10" s="244"/>
      <c r="G10" s="244"/>
      <c r="H10" s="244"/>
      <c r="I10" s="244"/>
      <c r="J10" s="244"/>
      <c r="K10" s="244"/>
    </row>
    <row r="11" spans="1:33" s="482" customFormat="1" ht="18" x14ac:dyDescent="0.4">
      <c r="A11" s="480" t="s">
        <v>372</v>
      </c>
      <c r="B11" s="479"/>
      <c r="C11" s="479"/>
      <c r="D11" s="479"/>
      <c r="E11" s="479"/>
      <c r="F11" s="479"/>
      <c r="G11" s="479"/>
      <c r="H11" s="480"/>
      <c r="I11" s="479"/>
      <c r="J11" s="479"/>
      <c r="K11" s="479"/>
      <c r="L11" s="479"/>
      <c r="M11" s="479"/>
      <c r="N11" s="479"/>
      <c r="O11" s="479"/>
      <c r="P11" s="512"/>
      <c r="Q11" s="512"/>
      <c r="R11" s="512"/>
      <c r="S11" s="512"/>
      <c r="T11" s="484"/>
      <c r="U11" s="481"/>
      <c r="V11" s="481"/>
      <c r="W11" s="481"/>
      <c r="X11" s="481"/>
      <c r="Y11" s="481"/>
      <c r="Z11" s="481"/>
      <c r="AA11" s="481"/>
      <c r="AB11" s="481"/>
      <c r="AC11" s="481"/>
      <c r="AD11" s="485"/>
      <c r="AE11" s="485"/>
      <c r="AF11" s="485"/>
      <c r="AG11" s="485"/>
    </row>
    <row r="12" spans="1:33" s="18" customFormat="1" x14ac:dyDescent="0.35">
      <c r="A12" s="247"/>
      <c r="B12" s="248"/>
      <c r="C12" s="248"/>
      <c r="D12" s="248"/>
      <c r="E12" s="221"/>
      <c r="F12" s="221"/>
      <c r="G12" s="221"/>
      <c r="H12" s="221"/>
      <c r="I12" s="221"/>
      <c r="N12" s="11"/>
      <c r="P12" s="11"/>
      <c r="Q12" s="11"/>
      <c r="R12" s="11"/>
      <c r="S12" s="11"/>
      <c r="T12" s="11"/>
      <c r="U12" s="11"/>
      <c r="V12" s="11"/>
      <c r="W12" s="11"/>
      <c r="X12" s="11"/>
      <c r="Y12" s="11"/>
      <c r="Z12" s="11"/>
      <c r="AA12" s="11"/>
      <c r="AB12" s="11"/>
      <c r="AC12" s="11"/>
      <c r="AD12" s="11"/>
    </row>
    <row r="13" spans="1:33" s="250" customFormat="1" ht="62" outlineLevel="1" x14ac:dyDescent="0.35">
      <c r="A13" s="249" t="s">
        <v>288</v>
      </c>
      <c r="B13" s="394" t="s">
        <v>376</v>
      </c>
      <c r="C13" s="394" t="s">
        <v>390</v>
      </c>
      <c r="D13" s="394" t="s">
        <v>377</v>
      </c>
      <c r="E13" s="432" t="str">
        <f>'Compte de résultats'!C8</f>
        <v>n = année précédente</v>
      </c>
      <c r="F13" s="432" t="str">
        <f>'Compte de résultats'!D8</f>
        <v>n + 1
(1ère année du PDR)</v>
      </c>
      <c r="G13" s="432" t="str">
        <f>'Compte de résultats'!E8</f>
        <v>n+2
(deuxième année)</v>
      </c>
      <c r="H13" s="432" t="str">
        <f>'Compte de résultats'!F8</f>
        <v>n+3</v>
      </c>
      <c r="I13" s="432" t="str">
        <f>'Compte de résultats'!G8</f>
        <v>n+4</v>
      </c>
      <c r="J13" s="432" t="str">
        <f>'Compte de résultats'!H8</f>
        <v>n+5</v>
      </c>
      <c r="K13" s="432" t="str">
        <f>'Compte de résultats'!I8</f>
        <v>n+6
(dernière année du PDR)</v>
      </c>
      <c r="L13" s="622" t="str">
        <f>'Compte de résultats'!J8</f>
        <v>1re année après la mise en oeuvre</v>
      </c>
      <c r="M13" s="633" t="s">
        <v>463</v>
      </c>
      <c r="N13" s="394" t="s">
        <v>461</v>
      </c>
      <c r="O13" s="394" t="s">
        <v>378</v>
      </c>
      <c r="P13" s="11"/>
      <c r="Q13" s="11"/>
      <c r="R13" s="11"/>
      <c r="S13" s="11"/>
      <c r="T13" s="11"/>
      <c r="U13" s="11"/>
      <c r="V13" s="11"/>
      <c r="W13" s="11"/>
      <c r="X13" s="11"/>
      <c r="Y13" s="11"/>
      <c r="Z13" s="11"/>
      <c r="AA13" s="11"/>
      <c r="AB13" s="11"/>
      <c r="AC13" s="11"/>
      <c r="AD13" s="11"/>
    </row>
    <row r="14" spans="1:33" outlineLevel="1" x14ac:dyDescent="0.35">
      <c r="A14" s="251" t="s">
        <v>380</v>
      </c>
      <c r="B14" s="252" t="s">
        <v>312</v>
      </c>
      <c r="C14" s="252"/>
      <c r="D14" s="253">
        <f>'Vue d''ensemble'!E25</f>
        <v>0</v>
      </c>
      <c r="E14" s="459">
        <f>SUM(E15:E16)+E17</f>
        <v>0</v>
      </c>
      <c r="F14" s="459">
        <f t="shared" ref="F14:L14" si="0">SUM(F15:F16)+F17</f>
        <v>0</v>
      </c>
      <c r="G14" s="459">
        <f t="shared" si="0"/>
        <v>0</v>
      </c>
      <c r="H14" s="459">
        <f t="shared" si="0"/>
        <v>0</v>
      </c>
      <c r="I14" s="459">
        <f t="shared" si="0"/>
        <v>0</v>
      </c>
      <c r="J14" s="459">
        <f t="shared" si="0"/>
        <v>0</v>
      </c>
      <c r="K14" s="459">
        <f t="shared" si="0"/>
        <v>0</v>
      </c>
      <c r="L14" s="459">
        <f t="shared" si="0"/>
        <v>0</v>
      </c>
      <c r="M14" s="626"/>
      <c r="N14" s="288">
        <f>SUM(E14:L14)</f>
        <v>0</v>
      </c>
      <c r="O14" s="254">
        <f>SUM(O15:O24)</f>
        <v>0</v>
      </c>
    </row>
    <row r="15" spans="1:33" outlineLevel="1" x14ac:dyDescent="0.35">
      <c r="A15" s="228"/>
      <c r="B15" s="255" t="s">
        <v>269</v>
      </c>
      <c r="C15" s="256">
        <v>0</v>
      </c>
      <c r="D15" s="257">
        <f>'Vue d''ensemble'!T25</f>
        <v>0</v>
      </c>
      <c r="E15" s="259"/>
      <c r="F15" s="260"/>
      <c r="G15" s="260"/>
      <c r="H15" s="260"/>
      <c r="I15" s="260"/>
      <c r="J15" s="260"/>
      <c r="K15" s="260"/>
      <c r="L15" s="623">
        <f>IFERROR(D15*0.2,"")</f>
        <v>0</v>
      </c>
      <c r="M15" s="621" t="str">
        <f>IF(SUM(E15:L15)='Vue d''ensemble'!T25,"correcte","ne correspond pas")</f>
        <v>correcte</v>
      </c>
      <c r="N15" s="258">
        <f>SUM(E15:L15)</f>
        <v>0</v>
      </c>
      <c r="O15" s="262" t="str">
        <f>IFERROR(SUM(E15:L15)/$D$14,"N/A")</f>
        <v>N/A</v>
      </c>
    </row>
    <row r="16" spans="1:33" outlineLevel="1" x14ac:dyDescent="0.35">
      <c r="A16" s="228"/>
      <c r="B16" s="263" t="s">
        <v>270</v>
      </c>
      <c r="C16" s="264">
        <v>0</v>
      </c>
      <c r="D16" s="631"/>
      <c r="E16" s="266"/>
      <c r="F16" s="267"/>
      <c r="G16" s="267"/>
      <c r="H16" s="267"/>
      <c r="I16" s="267"/>
      <c r="J16" s="267"/>
      <c r="K16" s="267"/>
      <c r="L16" s="624"/>
      <c r="M16" s="263"/>
      <c r="N16" s="265">
        <f>SUM(E16:L16)</f>
        <v>0</v>
      </c>
      <c r="O16" s="262" t="str">
        <f>IFERROR(SUM(E16:L16)/$D$14,"N/A")</f>
        <v>N/A</v>
      </c>
    </row>
    <row r="17" spans="1:15" outlineLevel="1" x14ac:dyDescent="0.35">
      <c r="A17" s="269"/>
      <c r="B17" s="244"/>
      <c r="C17" s="270"/>
      <c r="D17" s="271"/>
      <c r="E17" s="460">
        <f>SUM(E18:E24)</f>
        <v>0</v>
      </c>
      <c r="F17" s="460">
        <f t="shared" ref="F17:L17" si="1">SUM(F18:F24)</f>
        <v>0</v>
      </c>
      <c r="G17" s="460">
        <f t="shared" si="1"/>
        <v>0</v>
      </c>
      <c r="H17" s="460">
        <f t="shared" si="1"/>
        <v>0</v>
      </c>
      <c r="I17" s="460">
        <f t="shared" si="1"/>
        <v>0</v>
      </c>
      <c r="J17" s="460">
        <f t="shared" si="1"/>
        <v>0</v>
      </c>
      <c r="K17" s="460">
        <f t="shared" si="1"/>
        <v>0</v>
      </c>
      <c r="L17" s="460">
        <f t="shared" si="1"/>
        <v>0</v>
      </c>
      <c r="M17" s="274"/>
      <c r="N17" s="272"/>
      <c r="O17" s="262"/>
    </row>
    <row r="18" spans="1:15" outlineLevel="1" x14ac:dyDescent="0.35">
      <c r="A18" s="228"/>
      <c r="B18" s="461" t="s">
        <v>271</v>
      </c>
      <c r="C18" s="583">
        <v>0.05</v>
      </c>
      <c r="D18" s="257"/>
      <c r="E18" s="259"/>
      <c r="F18" s="260"/>
      <c r="G18" s="260"/>
      <c r="H18" s="260"/>
      <c r="I18" s="260"/>
      <c r="J18" s="260"/>
      <c r="K18" s="260"/>
      <c r="L18" s="623"/>
      <c r="M18" s="255"/>
      <c r="N18" s="255">
        <f>SUM(E18:L18)</f>
        <v>0</v>
      </c>
      <c r="O18" s="262" t="str">
        <f>IFERROR(SUM(E18:L18)/$D$14,"N/A")</f>
        <v>N/A</v>
      </c>
    </row>
    <row r="19" spans="1:15" outlineLevel="1" x14ac:dyDescent="0.35">
      <c r="A19" s="228"/>
      <c r="B19" s="462" t="s">
        <v>272</v>
      </c>
      <c r="C19" s="584">
        <v>0.03</v>
      </c>
      <c r="D19" s="628"/>
      <c r="E19" s="275"/>
      <c r="F19" s="276"/>
      <c r="G19" s="276"/>
      <c r="H19" s="276"/>
      <c r="I19" s="276"/>
      <c r="J19" s="276"/>
      <c r="K19" s="276"/>
      <c r="L19" s="625"/>
      <c r="M19" s="274"/>
      <c r="N19" s="274">
        <f>SUM(E19:L19)</f>
        <v>0</v>
      </c>
      <c r="O19" s="262" t="str">
        <f>IFERROR(SUM(E19:L19)/$D$14,"N/A")</f>
        <v>N/A</v>
      </c>
    </row>
    <row r="20" spans="1:15" outlineLevel="1" x14ac:dyDescent="0.35">
      <c r="A20" s="228"/>
      <c r="B20" s="462" t="s">
        <v>271</v>
      </c>
      <c r="C20" s="584">
        <v>0.02</v>
      </c>
      <c r="D20" s="628"/>
      <c r="E20" s="275"/>
      <c r="F20" s="276"/>
      <c r="G20" s="276"/>
      <c r="H20" s="276"/>
      <c r="I20" s="276"/>
      <c r="J20" s="276"/>
      <c r="K20" s="276"/>
      <c r="L20" s="625"/>
      <c r="M20" s="274"/>
      <c r="N20" s="274">
        <f t="shared" ref="N20:N24" si="2">SUM(E20:L20)</f>
        <v>0</v>
      </c>
      <c r="O20" s="262"/>
    </row>
    <row r="21" spans="1:15" outlineLevel="1" x14ac:dyDescent="0.35">
      <c r="A21" s="228"/>
      <c r="B21" s="462"/>
      <c r="C21" s="584"/>
      <c r="D21" s="628"/>
      <c r="E21" s="275"/>
      <c r="F21" s="276"/>
      <c r="G21" s="276"/>
      <c r="H21" s="276"/>
      <c r="I21" s="276"/>
      <c r="J21" s="276"/>
      <c r="K21" s="276"/>
      <c r="L21" s="625"/>
      <c r="M21" s="274"/>
      <c r="N21" s="274">
        <f t="shared" si="2"/>
        <v>0</v>
      </c>
      <c r="O21" s="262"/>
    </row>
    <row r="22" spans="1:15" outlineLevel="1" x14ac:dyDescent="0.35">
      <c r="A22" s="228"/>
      <c r="B22" s="462" t="s">
        <v>272</v>
      </c>
      <c r="C22" s="584"/>
      <c r="D22" s="628"/>
      <c r="E22" s="275"/>
      <c r="F22" s="276"/>
      <c r="G22" s="276"/>
      <c r="H22" s="276"/>
      <c r="I22" s="276"/>
      <c r="J22" s="276"/>
      <c r="K22" s="276"/>
      <c r="L22" s="625"/>
      <c r="M22" s="274"/>
      <c r="N22" s="274">
        <f t="shared" si="2"/>
        <v>0</v>
      </c>
      <c r="O22" s="262" t="str">
        <f>IFERROR(SUM(E22:L22)/$D$14,"N/A")</f>
        <v>N/A</v>
      </c>
    </row>
    <row r="23" spans="1:15" outlineLevel="1" x14ac:dyDescent="0.35">
      <c r="A23" s="228"/>
      <c r="B23" s="462"/>
      <c r="C23" s="584"/>
      <c r="D23" s="629"/>
      <c r="E23" s="275"/>
      <c r="F23" s="276"/>
      <c r="G23" s="276"/>
      <c r="H23" s="276"/>
      <c r="I23" s="276"/>
      <c r="J23" s="276"/>
      <c r="K23" s="276"/>
      <c r="L23" s="625"/>
      <c r="M23" s="274"/>
      <c r="N23" s="274">
        <f t="shared" si="2"/>
        <v>0</v>
      </c>
      <c r="O23" s="262" t="str">
        <f>IFERROR(SUM(E23:L23)/$D$14,"N/A")</f>
        <v>N/A</v>
      </c>
    </row>
    <row r="24" spans="1:15" outlineLevel="1" x14ac:dyDescent="0.35">
      <c r="A24" s="230"/>
      <c r="B24" s="463"/>
      <c r="C24" s="585"/>
      <c r="D24" s="630"/>
      <c r="E24" s="266"/>
      <c r="F24" s="267"/>
      <c r="G24" s="267"/>
      <c r="H24" s="267"/>
      <c r="I24" s="267"/>
      <c r="J24" s="267"/>
      <c r="K24" s="267"/>
      <c r="L24" s="624"/>
      <c r="M24" s="263"/>
      <c r="N24" s="263">
        <f t="shared" si="2"/>
        <v>0</v>
      </c>
      <c r="O24" s="262" t="str">
        <f>IFERROR(SUM(E24:L24)/$D$14,"N/A")</f>
        <v>N/A</v>
      </c>
    </row>
    <row r="25" spans="1:15" outlineLevel="1" x14ac:dyDescent="0.35">
      <c r="A25" s="278" t="s">
        <v>381</v>
      </c>
      <c r="B25" s="279" t="s">
        <v>382</v>
      </c>
      <c r="C25" s="650">
        <v>0.03</v>
      </c>
      <c r="D25" s="280">
        <f>SUM(E25:L25)</f>
        <v>0</v>
      </c>
      <c r="E25" s="464">
        <f>E17*C25</f>
        <v>0</v>
      </c>
      <c r="F25" s="464">
        <f>(F17+E17)*C25</f>
        <v>0</v>
      </c>
      <c r="G25" s="464">
        <f>(G17+F17+E17)*C25</f>
        <v>0</v>
      </c>
      <c r="H25" s="464">
        <f>(H17+G17+F17+E17)*C25</f>
        <v>0</v>
      </c>
      <c r="I25" s="464">
        <f>(I17+H17+G17+F17+E17)*C25</f>
        <v>0</v>
      </c>
      <c r="J25" s="464">
        <f>(J17+I17+H17+G17+F17+E17)*C25</f>
        <v>0</v>
      </c>
      <c r="K25" s="464">
        <f>(K17+J17+I17+H17+G17+F17+E17)*C25</f>
        <v>0</v>
      </c>
      <c r="L25" s="464">
        <f>(L17+K17+J17+I17+H17+G17+F17+E17)*C25</f>
        <v>0</v>
      </c>
      <c r="M25" s="627"/>
      <c r="N25" s="273"/>
      <c r="O25" s="273"/>
    </row>
    <row r="26" spans="1:15" outlineLevel="1" x14ac:dyDescent="0.35">
      <c r="A26" s="281" t="s">
        <v>383</v>
      </c>
      <c r="B26" s="282" t="s">
        <v>384</v>
      </c>
      <c r="C26" s="651">
        <v>0.02</v>
      </c>
      <c r="D26" s="283">
        <f>SUM(E26:L26)</f>
        <v>0</v>
      </c>
      <c r="E26" s="466">
        <f>E14*C26</f>
        <v>0</v>
      </c>
      <c r="F26" s="466">
        <f>(F14+E14)*C26</f>
        <v>0</v>
      </c>
      <c r="G26" s="466">
        <f>(G14+F14+E14)*C26</f>
        <v>0</v>
      </c>
      <c r="H26" s="466">
        <f>(H14+G14+F14+E14)*C26</f>
        <v>0</v>
      </c>
      <c r="I26" s="466">
        <f>(I14+H14+G14+F14+E14)*C26</f>
        <v>0</v>
      </c>
      <c r="J26" s="466">
        <f>(J14+I14+H14+G14+F14+E14)*C26</f>
        <v>0</v>
      </c>
      <c r="K26" s="466">
        <f>(K14+J14+I14+H14+G14+F14+E14)*C26</f>
        <v>0</v>
      </c>
      <c r="L26" s="466">
        <f>(L14+K14+J14+I14+H14+G14+F14+E14)*C26</f>
        <v>0</v>
      </c>
      <c r="M26" s="627"/>
      <c r="N26" s="273"/>
      <c r="O26" s="273"/>
    </row>
    <row r="27" spans="1:15" outlineLevel="1" x14ac:dyDescent="0.35">
      <c r="A27" s="566" t="s">
        <v>448</v>
      </c>
      <c r="B27" s="567"/>
      <c r="C27" s="568"/>
      <c r="D27" s="569">
        <f>SUM(E27:L27)</f>
        <v>0</v>
      </c>
      <c r="E27" s="287">
        <f>SUMPRODUCT(E18:E24,C18:C24)</f>
        <v>0</v>
      </c>
      <c r="F27" s="287">
        <f>SUM(E18:F18)*C18+SUM(E19:F19)*C19+SUM(E20:F20)*C20+SUM(E21:F21)*C21+SUM(E22:F22)*C22+SUM(E23:F23)*C23+SUM(E24:F24)*C24</f>
        <v>0</v>
      </c>
      <c r="G27" s="287">
        <f>SUM(E18:G18)*C18+SUM(E19:G19)*C19+SUM(E20:G20)*C20+SUM(E21:G21)*C21+SUM(E22:G22)*C22+SUM(E23:G23)*C23+SUM(E24:G24)*C24</f>
        <v>0</v>
      </c>
      <c r="H27" s="287">
        <f>SUM(E18:H18)*C18+SUM(E19:H19)*C19+SUM(E20:H20)*C20+SUM(E21:H21)*C21+SUM(E22:H22)*C22+SUM(E23:H23)*C23+SUM(E24:H24)*C24</f>
        <v>0</v>
      </c>
      <c r="I27" s="287">
        <f>SUM(E18:I18)*C18+SUM(E19:I19)*C19+SUM(E20:I20)*C20+SUM(E21:I21)*C21+SUM(E22:I22)*C22+SUM(E23:I23)*C23+SUM(E24:I24)*C24</f>
        <v>0</v>
      </c>
      <c r="J27" s="287">
        <f>SUM(E18:J18)*C18+SUM(E19:J19)*C19+SUM(E20:J20)*C20+SUM(E21:J21)*C21+SUM(E22:J22)*C22+SUM(E23:J23)*C23+SUM(E24:J24)*C24</f>
        <v>0</v>
      </c>
      <c r="K27" s="287">
        <f>SUM(E18:K18)*C18+SUM(E19:K19)*C19+SUM(E20:K20)*C20+SUM(E21:K21)*C21+SUM(E22:K22)*C22+SUM(E23:K23)*C23+SUM(E24:K24)*C24</f>
        <v>0</v>
      </c>
      <c r="L27" s="287">
        <f>SUM(E18:L18)*C18+SUM(E19:L19)*C19+SUM(E20:L20)*C20+SUM(E21:L21)*C21+SUM(E22:L22)*C22+SUM(E23:L23)*C23+SUM(E24:L24)*C24</f>
        <v>0</v>
      </c>
      <c r="M27" s="627"/>
      <c r="N27" s="273"/>
      <c r="O27" s="273"/>
    </row>
    <row r="28" spans="1:15" outlineLevel="1" x14ac:dyDescent="0.35">
      <c r="A28" s="228"/>
      <c r="B28" s="244"/>
      <c r="C28" s="284"/>
      <c r="D28" s="285"/>
      <c r="F28" s="286"/>
      <c r="G28" s="286"/>
      <c r="H28" s="286"/>
      <c r="I28" s="286"/>
      <c r="J28" s="286"/>
      <c r="K28" s="286"/>
      <c r="L28" s="570"/>
      <c r="M28" s="286"/>
      <c r="N28" s="273"/>
      <c r="O28" s="273"/>
    </row>
    <row r="29" spans="1:15" outlineLevel="1" x14ac:dyDescent="0.35">
      <c r="A29" s="251" t="s">
        <v>304</v>
      </c>
      <c r="B29" s="252"/>
      <c r="C29" s="252"/>
      <c r="D29" s="253">
        <f>'Vue d''ensemble'!E26</f>
        <v>0</v>
      </c>
      <c r="E29" s="459">
        <f>SUM(E30:E31)+E32</f>
        <v>0</v>
      </c>
      <c r="F29" s="459">
        <f t="shared" ref="F29" si="3">SUM(F30:F31)+F32</f>
        <v>0</v>
      </c>
      <c r="G29" s="459">
        <f t="shared" ref="G29" si="4">SUM(G30:G31)+G32</f>
        <v>0</v>
      </c>
      <c r="H29" s="459">
        <f t="shared" ref="H29" si="5">SUM(H30:H31)+H32</f>
        <v>0</v>
      </c>
      <c r="I29" s="459">
        <f t="shared" ref="I29" si="6">SUM(I30:I31)+I32</f>
        <v>0</v>
      </c>
      <c r="J29" s="459">
        <f t="shared" ref="J29" si="7">SUM(J30:J31)+J32</f>
        <v>0</v>
      </c>
      <c r="K29" s="459">
        <f t="shared" ref="K29" si="8">SUM(K30:K31)+K32</f>
        <v>0</v>
      </c>
      <c r="L29" s="459">
        <f t="shared" ref="L29" si="9">SUM(L30:L31)+L32</f>
        <v>0</v>
      </c>
      <c r="M29" s="626"/>
      <c r="N29" s="288">
        <f>SUM(E29:L29)</f>
        <v>0</v>
      </c>
      <c r="O29" s="254">
        <f>SUM(O30:O39)</f>
        <v>0</v>
      </c>
    </row>
    <row r="30" spans="1:15" outlineLevel="1" x14ac:dyDescent="0.35">
      <c r="A30" s="228"/>
      <c r="B30" s="255" t="s">
        <v>269</v>
      </c>
      <c r="C30" s="256">
        <v>0</v>
      </c>
      <c r="D30" s="257">
        <f>'Vue d''ensemble'!T26</f>
        <v>0</v>
      </c>
      <c r="E30" s="259"/>
      <c r="F30" s="260"/>
      <c r="G30" s="260"/>
      <c r="H30" s="260"/>
      <c r="I30" s="260"/>
      <c r="J30" s="260"/>
      <c r="K30" s="260"/>
      <c r="L30" s="623">
        <f>IFERROR(D30*0.2,"")</f>
        <v>0</v>
      </c>
      <c r="M30" s="621" t="str">
        <f>IF(SUM(E30:L30)='Vue d''ensemble'!T26,"correcte","ne correspond pas")</f>
        <v>correcte</v>
      </c>
      <c r="N30" s="258">
        <f>SUM(E30:L30)</f>
        <v>0</v>
      </c>
      <c r="O30" s="262" t="str">
        <f>IFERROR(SUM(E30:L30)/$D$29,"N/A")</f>
        <v>N/A</v>
      </c>
    </row>
    <row r="31" spans="1:15" outlineLevel="1" x14ac:dyDescent="0.35">
      <c r="A31" s="228"/>
      <c r="B31" s="263" t="s">
        <v>270</v>
      </c>
      <c r="C31" s="264">
        <v>0</v>
      </c>
      <c r="D31" s="631"/>
      <c r="E31" s="266"/>
      <c r="F31" s="267"/>
      <c r="G31" s="267"/>
      <c r="H31" s="267"/>
      <c r="I31" s="267"/>
      <c r="J31" s="267"/>
      <c r="K31" s="267"/>
      <c r="L31" s="624"/>
      <c r="M31" s="263"/>
      <c r="N31" s="265">
        <f>SUM(E31:L31)</f>
        <v>0</v>
      </c>
      <c r="O31" s="262" t="str">
        <f>IFERROR(SUM(E31:L31)/$D$29,"N/A")</f>
        <v>N/A</v>
      </c>
    </row>
    <row r="32" spans="1:15" outlineLevel="1" x14ac:dyDescent="0.35">
      <c r="A32" s="269"/>
      <c r="B32" s="244"/>
      <c r="C32" s="270"/>
      <c r="D32" s="271"/>
      <c r="E32" s="460">
        <f>SUM(E33:E39)</f>
        <v>0</v>
      </c>
      <c r="F32" s="460">
        <f t="shared" ref="F32" si="10">SUM(F33:F39)</f>
        <v>0</v>
      </c>
      <c r="G32" s="460">
        <f t="shared" ref="G32" si="11">SUM(G33:G39)</f>
        <v>0</v>
      </c>
      <c r="H32" s="460">
        <f t="shared" ref="H32" si="12">SUM(H33:H39)</f>
        <v>0</v>
      </c>
      <c r="I32" s="460">
        <f t="shared" ref="I32" si="13">SUM(I33:I39)</f>
        <v>0</v>
      </c>
      <c r="J32" s="460">
        <f t="shared" ref="J32" si="14">SUM(J33:J39)</f>
        <v>0</v>
      </c>
      <c r="K32" s="460">
        <f t="shared" ref="K32" si="15">SUM(K33:K39)</f>
        <v>0</v>
      </c>
      <c r="L32" s="460">
        <f t="shared" ref="L32" si="16">SUM(L33:L39)</f>
        <v>0</v>
      </c>
      <c r="M32" s="274"/>
      <c r="N32" s="272"/>
      <c r="O32" s="262"/>
    </row>
    <row r="33" spans="1:15" outlineLevel="1" x14ac:dyDescent="0.35">
      <c r="A33" s="228"/>
      <c r="B33" s="461" t="s">
        <v>274</v>
      </c>
      <c r="C33" s="647"/>
      <c r="D33" s="257"/>
      <c r="E33" s="259"/>
      <c r="F33" s="260"/>
      <c r="G33" s="260"/>
      <c r="H33" s="260"/>
      <c r="I33" s="260"/>
      <c r="J33" s="260"/>
      <c r="K33" s="260"/>
      <c r="L33" s="623"/>
      <c r="M33" s="255"/>
      <c r="N33" s="255">
        <f t="shared" ref="N33:N39" si="17">SUM(E33:L33)</f>
        <v>0</v>
      </c>
      <c r="O33" s="262" t="str">
        <f t="shared" ref="O33:O39" si="18">IFERROR(SUM(E33:L33)/$D$29,"N/A")</f>
        <v>N/A</v>
      </c>
    </row>
    <row r="34" spans="1:15" outlineLevel="1" x14ac:dyDescent="0.35">
      <c r="A34" s="228"/>
      <c r="B34" s="462" t="s">
        <v>267</v>
      </c>
      <c r="C34" s="648"/>
      <c r="D34" s="628"/>
      <c r="E34" s="275"/>
      <c r="F34" s="276"/>
      <c r="G34" s="276"/>
      <c r="H34" s="276"/>
      <c r="I34" s="276"/>
      <c r="J34" s="276"/>
      <c r="K34" s="276"/>
      <c r="L34" s="625"/>
      <c r="M34" s="274"/>
      <c r="N34" s="274">
        <f t="shared" si="17"/>
        <v>0</v>
      </c>
      <c r="O34" s="262" t="str">
        <f t="shared" si="18"/>
        <v>N/A</v>
      </c>
    </row>
    <row r="35" spans="1:15" outlineLevel="1" x14ac:dyDescent="0.35">
      <c r="A35" s="228"/>
      <c r="B35" s="462"/>
      <c r="C35" s="648"/>
      <c r="D35" s="628"/>
      <c r="E35" s="275"/>
      <c r="F35" s="276"/>
      <c r="G35" s="276"/>
      <c r="H35" s="276"/>
      <c r="I35" s="276"/>
      <c r="J35" s="276"/>
      <c r="K35" s="276"/>
      <c r="L35" s="625"/>
      <c r="M35" s="274"/>
      <c r="N35" s="274">
        <f t="shared" si="17"/>
        <v>0</v>
      </c>
      <c r="O35" s="262" t="str">
        <f t="shared" si="18"/>
        <v>N/A</v>
      </c>
    </row>
    <row r="36" spans="1:15" outlineLevel="1" x14ac:dyDescent="0.35">
      <c r="A36" s="228"/>
      <c r="B36" s="462"/>
      <c r="C36" s="648"/>
      <c r="D36" s="628"/>
      <c r="E36" s="275"/>
      <c r="F36" s="276"/>
      <c r="G36" s="276"/>
      <c r="H36" s="276"/>
      <c r="I36" s="276"/>
      <c r="J36" s="276"/>
      <c r="K36" s="276"/>
      <c r="L36" s="625"/>
      <c r="M36" s="274"/>
      <c r="N36" s="274">
        <f t="shared" si="17"/>
        <v>0</v>
      </c>
      <c r="O36" s="262" t="str">
        <f t="shared" si="18"/>
        <v>N/A</v>
      </c>
    </row>
    <row r="37" spans="1:15" outlineLevel="1" x14ac:dyDescent="0.35">
      <c r="A37" s="228"/>
      <c r="B37" s="462"/>
      <c r="C37" s="648"/>
      <c r="D37" s="628"/>
      <c r="E37" s="275"/>
      <c r="F37" s="276"/>
      <c r="G37" s="276"/>
      <c r="H37" s="276"/>
      <c r="I37" s="276"/>
      <c r="J37" s="276"/>
      <c r="K37" s="276"/>
      <c r="L37" s="625"/>
      <c r="M37" s="274"/>
      <c r="N37" s="274">
        <f t="shared" si="17"/>
        <v>0</v>
      </c>
      <c r="O37" s="262" t="str">
        <f t="shared" si="18"/>
        <v>N/A</v>
      </c>
    </row>
    <row r="38" spans="1:15" outlineLevel="1" x14ac:dyDescent="0.35">
      <c r="A38" s="228"/>
      <c r="B38" s="462" t="s">
        <v>273</v>
      </c>
      <c r="C38" s="648"/>
      <c r="D38" s="629"/>
      <c r="E38" s="275"/>
      <c r="F38" s="276"/>
      <c r="G38" s="276"/>
      <c r="H38" s="276"/>
      <c r="I38" s="276"/>
      <c r="J38" s="276"/>
      <c r="K38" s="276"/>
      <c r="L38" s="625"/>
      <c r="M38" s="274"/>
      <c r="N38" s="274">
        <f t="shared" si="17"/>
        <v>0</v>
      </c>
      <c r="O38" s="262" t="str">
        <f t="shared" si="18"/>
        <v>N/A</v>
      </c>
    </row>
    <row r="39" spans="1:15" outlineLevel="1" x14ac:dyDescent="0.35">
      <c r="A39" s="230"/>
      <c r="B39" s="463"/>
      <c r="C39" s="649"/>
      <c r="D39" s="630"/>
      <c r="E39" s="266"/>
      <c r="F39" s="267"/>
      <c r="G39" s="267"/>
      <c r="H39" s="267"/>
      <c r="I39" s="267"/>
      <c r="J39" s="267"/>
      <c r="K39" s="267"/>
      <c r="L39" s="624"/>
      <c r="M39" s="263"/>
      <c r="N39" s="263">
        <f t="shared" si="17"/>
        <v>0</v>
      </c>
      <c r="O39" s="262" t="str">
        <f t="shared" si="18"/>
        <v>N/A</v>
      </c>
    </row>
    <row r="40" spans="1:15" outlineLevel="1" x14ac:dyDescent="0.35">
      <c r="A40" s="278" t="s">
        <v>381</v>
      </c>
      <c r="B40" s="279" t="s">
        <v>382</v>
      </c>
      <c r="C40" s="650"/>
      <c r="D40" s="280">
        <f>SUM(E40:L40)</f>
        <v>0</v>
      </c>
      <c r="E40" s="464">
        <f>E32*C40</f>
        <v>0</v>
      </c>
      <c r="F40" s="464">
        <f>(F32+E32)*C40</f>
        <v>0</v>
      </c>
      <c r="G40" s="464">
        <f>(G32+F32+E32)*C40</f>
        <v>0</v>
      </c>
      <c r="H40" s="464">
        <f>(H32+G32+F32+E32)*C40</f>
        <v>0</v>
      </c>
      <c r="I40" s="464">
        <f>(I32+H32+G32+F32+E32)*C40</f>
        <v>0</v>
      </c>
      <c r="J40" s="464">
        <f>(J32+I32+H32+G32+F32+E32)*C40</f>
        <v>0</v>
      </c>
      <c r="K40" s="464">
        <f>(K32+J32+I32+H32+G32+F32+E32)*C40</f>
        <v>0</v>
      </c>
      <c r="L40" s="464">
        <f>(L32+K32+J32+I32+H32+G32+F32+E32)*C40</f>
        <v>0</v>
      </c>
      <c r="M40" s="627"/>
      <c r="N40" s="273"/>
      <c r="O40" s="273"/>
    </row>
    <row r="41" spans="1:15" outlineLevel="1" x14ac:dyDescent="0.35">
      <c r="A41" s="281" t="s">
        <v>383</v>
      </c>
      <c r="B41" s="282" t="s">
        <v>384</v>
      </c>
      <c r="C41" s="651"/>
      <c r="D41" s="283">
        <f>SUM(E41:L41)</f>
        <v>0</v>
      </c>
      <c r="E41" s="466">
        <f>E29*C41</f>
        <v>0</v>
      </c>
      <c r="F41" s="466">
        <f>(F29+E29)*C41</f>
        <v>0</v>
      </c>
      <c r="G41" s="466">
        <f>(G29+F29+E29)*C41</f>
        <v>0</v>
      </c>
      <c r="H41" s="466">
        <f>(H29+G29+F29+E29)*C41</f>
        <v>0</v>
      </c>
      <c r="I41" s="466">
        <f>(I29+H29+G29+F29+E29)*C41</f>
        <v>0</v>
      </c>
      <c r="J41" s="466">
        <f>(J29+I29+H29+G29+F29+E29)*C41</f>
        <v>0</v>
      </c>
      <c r="K41" s="466">
        <f>(K29+J29+I29+H29+G29+F29+E29)*C41</f>
        <v>0</v>
      </c>
      <c r="L41" s="466">
        <f>(L29+K29+J29+I29+H29+G29+F29+E29)*C41</f>
        <v>0</v>
      </c>
      <c r="M41" s="627"/>
      <c r="N41" s="273"/>
      <c r="O41" s="273"/>
    </row>
    <row r="42" spans="1:15" outlineLevel="1" x14ac:dyDescent="0.35">
      <c r="A42" s="566" t="s">
        <v>448</v>
      </c>
      <c r="B42" s="567"/>
      <c r="C42" s="568"/>
      <c r="D42" s="569">
        <f>SUM(E42:L42)</f>
        <v>0</v>
      </c>
      <c r="E42" s="287">
        <f>SUMPRODUCT(E33:E39,C33:C39)</f>
        <v>0</v>
      </c>
      <c r="F42" s="287">
        <f>SUM(E33:F33)*C33+SUM(E34:F34)*C34+SUM(E35:F35)*C35+SUM(E36:F36)*C36+SUM(E37:F37)*C37+SUM(E38:F38)*C38+SUM(E39:F39)*C39</f>
        <v>0</v>
      </c>
      <c r="G42" s="287">
        <f>SUM(E33:G33)*C33+SUM(E34:G34)*C34+SUM(E35:G35)*C35+SUM(E36:G36)*C36+SUM(E37:G37)*C37+SUM(E38:G38)*C38+SUM(E39:G39)*C39</f>
        <v>0</v>
      </c>
      <c r="H42" s="287">
        <f>SUM(E33:H33)*C33+SUM(E34:H34)*C34+SUM(E35:H35)*C35+SUM(E36:H36)*C36+SUM(E37:H37)*C37+SUM(E38:H38)*C38+SUM(E39:H39)*C39</f>
        <v>0</v>
      </c>
      <c r="I42" s="287">
        <f>SUM(E33:I33)*C33+SUM(E34:I34)*C34+SUM(E35:I35)*C35+SUM(E36:I36)*C36+SUM(E37:I37)*C37+SUM(E38:I38)*C38+SUM(E39:I39)*C39</f>
        <v>0</v>
      </c>
      <c r="J42" s="287">
        <f>SUM(E33:J33)*C33+SUM(E34:J34)*C34+SUM(E35:J35)*C35+SUM(E36:J36)*C36+SUM(E37:J37)*C37+SUM(E38:J38)*C38+SUM(E39:J39)*C39</f>
        <v>0</v>
      </c>
      <c r="K42" s="287">
        <f>SUM(E33:K33)*C33+SUM(E34:K34)*C34+SUM(E35:K35)*C35+SUM(E36:K36)*C36+SUM(E37:K37)*C37+SUM(E38:K38)*C38+SUM(E39:K39)*C39</f>
        <v>0</v>
      </c>
      <c r="L42" s="287">
        <f>SUM(E33:L33)*C33+SUM(E34:L34)*C34+SUM(E35:L35)*C35+SUM(E36:L36)*C36+SUM(E37:L37)*C37+SUM(E38:L38)*C38+SUM(E39:L39)*C39</f>
        <v>0</v>
      </c>
      <c r="M42" s="627"/>
      <c r="N42" s="273"/>
      <c r="O42" s="273"/>
    </row>
    <row r="43" spans="1:15" outlineLevel="1" x14ac:dyDescent="0.35">
      <c r="A43" s="228"/>
      <c r="B43" s="244"/>
      <c r="C43" s="284"/>
      <c r="D43" s="285"/>
      <c r="F43" s="286"/>
      <c r="G43" s="286"/>
      <c r="H43" s="286"/>
      <c r="I43" s="286"/>
      <c r="J43" s="286"/>
      <c r="K43" s="286"/>
      <c r="L43" s="287"/>
      <c r="M43" s="286"/>
      <c r="N43" s="273"/>
      <c r="O43" s="273"/>
    </row>
    <row r="44" spans="1:15" outlineLevel="1" x14ac:dyDescent="0.35">
      <c r="A44" s="251" t="s">
        <v>306</v>
      </c>
      <c r="B44" s="252"/>
      <c r="C44" s="252"/>
      <c r="D44" s="253">
        <f>'Vue d''ensemble'!E27</f>
        <v>0</v>
      </c>
      <c r="E44" s="459">
        <f>SUM(E45:E46)+E47</f>
        <v>0</v>
      </c>
      <c r="F44" s="459">
        <f t="shared" ref="F44" si="19">SUM(F45:F46)+F47</f>
        <v>0</v>
      </c>
      <c r="G44" s="459">
        <f t="shared" ref="G44" si="20">SUM(G45:G46)+G47</f>
        <v>0</v>
      </c>
      <c r="H44" s="459">
        <f t="shared" ref="H44" si="21">SUM(H45:H46)+H47</f>
        <v>0</v>
      </c>
      <c r="I44" s="459">
        <f t="shared" ref="I44" si="22">SUM(I45:I46)+I47</f>
        <v>0</v>
      </c>
      <c r="J44" s="459">
        <f t="shared" ref="J44" si="23">SUM(J45:J46)+J47</f>
        <v>0</v>
      </c>
      <c r="K44" s="459">
        <f t="shared" ref="K44" si="24">SUM(K45:K46)+K47</f>
        <v>0</v>
      </c>
      <c r="L44" s="459">
        <f t="shared" ref="L44" si="25">SUM(L45:L46)+L47</f>
        <v>0</v>
      </c>
      <c r="M44" s="626"/>
      <c r="N44" s="288">
        <f>SUM(E44:L44)</f>
        <v>0</v>
      </c>
      <c r="O44" s="254">
        <f>SUM(O45:O54)</f>
        <v>0</v>
      </c>
    </row>
    <row r="45" spans="1:15" outlineLevel="1" x14ac:dyDescent="0.35">
      <c r="A45" s="228"/>
      <c r="B45" s="255" t="s">
        <v>269</v>
      </c>
      <c r="C45" s="256">
        <v>0</v>
      </c>
      <c r="D45" s="257">
        <f>'Vue d''ensemble'!T27</f>
        <v>0</v>
      </c>
      <c r="E45" s="259"/>
      <c r="F45" s="260"/>
      <c r="G45" s="260"/>
      <c r="H45" s="260"/>
      <c r="I45" s="260"/>
      <c r="J45" s="260"/>
      <c r="K45" s="260"/>
      <c r="L45" s="261">
        <f>IFERROR(D45*0.2,"")</f>
        <v>0</v>
      </c>
      <c r="M45" s="621" t="str">
        <f>IF(SUM(E45:L45)='Vue d''ensemble'!T27,"correcte","ne correspond pas")</f>
        <v>correcte</v>
      </c>
      <c r="N45" s="258">
        <f>SUM(E45:L45)</f>
        <v>0</v>
      </c>
      <c r="O45" s="262" t="str">
        <f>IFERROR(SUM(E45:L45)/$D$44,"N/A")</f>
        <v>N/A</v>
      </c>
    </row>
    <row r="46" spans="1:15" outlineLevel="1" x14ac:dyDescent="0.35">
      <c r="A46" s="228"/>
      <c r="B46" s="263" t="s">
        <v>270</v>
      </c>
      <c r="C46" s="264">
        <v>0</v>
      </c>
      <c r="D46" s="631"/>
      <c r="E46" s="266"/>
      <c r="F46" s="267"/>
      <c r="G46" s="267"/>
      <c r="H46" s="267"/>
      <c r="I46" s="267"/>
      <c r="J46" s="267"/>
      <c r="K46" s="267"/>
      <c r="L46" s="268"/>
      <c r="M46" s="263"/>
      <c r="N46" s="265">
        <f>SUM(E46:L46)</f>
        <v>0</v>
      </c>
      <c r="O46" s="262" t="str">
        <f>IFERROR(SUM(E46:L46)/$D$44,"N/A")</f>
        <v>N/A</v>
      </c>
    </row>
    <row r="47" spans="1:15" outlineLevel="1" x14ac:dyDescent="0.35">
      <c r="A47" s="269"/>
      <c r="B47" s="244"/>
      <c r="C47" s="270"/>
      <c r="D47" s="271"/>
      <c r="E47" s="460">
        <f>SUM(E48:E54)</f>
        <v>0</v>
      </c>
      <c r="F47" s="460">
        <f t="shared" ref="F47" si="26">SUM(F48:F54)</f>
        <v>0</v>
      </c>
      <c r="G47" s="460">
        <f t="shared" ref="G47" si="27">SUM(G48:G54)</f>
        <v>0</v>
      </c>
      <c r="H47" s="460">
        <f t="shared" ref="H47" si="28">SUM(H48:H54)</f>
        <v>0</v>
      </c>
      <c r="I47" s="460">
        <f t="shared" ref="I47" si="29">SUM(I48:I54)</f>
        <v>0</v>
      </c>
      <c r="J47" s="460">
        <f t="shared" ref="J47" si="30">SUM(J48:J54)</f>
        <v>0</v>
      </c>
      <c r="K47" s="460">
        <f t="shared" ref="K47" si="31">SUM(K48:K54)</f>
        <v>0</v>
      </c>
      <c r="L47" s="460">
        <f t="shared" ref="L47" si="32">SUM(L48:L54)</f>
        <v>0</v>
      </c>
      <c r="M47" s="274"/>
      <c r="N47" s="272"/>
      <c r="O47" s="262"/>
    </row>
    <row r="48" spans="1:15" outlineLevel="1" x14ac:dyDescent="0.35">
      <c r="A48" s="228"/>
      <c r="B48" s="461" t="s">
        <v>274</v>
      </c>
      <c r="C48" s="647"/>
      <c r="D48" s="257"/>
      <c r="E48" s="259"/>
      <c r="F48" s="260"/>
      <c r="G48" s="260"/>
      <c r="H48" s="260"/>
      <c r="I48" s="260"/>
      <c r="J48" s="260"/>
      <c r="K48" s="260"/>
      <c r="L48" s="261"/>
      <c r="M48" s="255"/>
      <c r="N48" s="255">
        <f t="shared" ref="N48:N54" si="33">SUM(E48:L48)</f>
        <v>0</v>
      </c>
      <c r="O48" s="262" t="str">
        <f t="shared" ref="O48:O54" si="34">IFERROR(SUM(E48:L48)/$D$44,"N/A")</f>
        <v>N/A</v>
      </c>
    </row>
    <row r="49" spans="1:15" outlineLevel="1" x14ac:dyDescent="0.35">
      <c r="A49" s="228"/>
      <c r="B49" s="462"/>
      <c r="C49" s="648"/>
      <c r="D49" s="628"/>
      <c r="E49" s="275"/>
      <c r="F49" s="276"/>
      <c r="G49" s="276"/>
      <c r="H49" s="276"/>
      <c r="I49" s="276"/>
      <c r="J49" s="276"/>
      <c r="K49" s="276"/>
      <c r="L49" s="277"/>
      <c r="M49" s="274"/>
      <c r="N49" s="274">
        <f t="shared" si="33"/>
        <v>0</v>
      </c>
      <c r="O49" s="262" t="str">
        <f t="shared" si="34"/>
        <v>N/A</v>
      </c>
    </row>
    <row r="50" spans="1:15" outlineLevel="1" x14ac:dyDescent="0.35">
      <c r="A50" s="228"/>
      <c r="B50" s="462"/>
      <c r="C50" s="648"/>
      <c r="D50" s="628"/>
      <c r="E50" s="275"/>
      <c r="F50" s="276"/>
      <c r="G50" s="276"/>
      <c r="H50" s="276"/>
      <c r="I50" s="276"/>
      <c r="J50" s="276"/>
      <c r="K50" s="276"/>
      <c r="L50" s="277"/>
      <c r="M50" s="274"/>
      <c r="N50" s="274">
        <f t="shared" si="33"/>
        <v>0</v>
      </c>
      <c r="O50" s="262" t="str">
        <f t="shared" si="34"/>
        <v>N/A</v>
      </c>
    </row>
    <row r="51" spans="1:15" outlineLevel="1" x14ac:dyDescent="0.35">
      <c r="A51" s="228"/>
      <c r="B51" s="462"/>
      <c r="C51" s="648"/>
      <c r="D51" s="628"/>
      <c r="E51" s="275"/>
      <c r="F51" s="276"/>
      <c r="G51" s="276"/>
      <c r="H51" s="276"/>
      <c r="I51" s="276"/>
      <c r="J51" s="276"/>
      <c r="K51" s="276"/>
      <c r="L51" s="277"/>
      <c r="M51" s="274"/>
      <c r="N51" s="274">
        <f t="shared" si="33"/>
        <v>0</v>
      </c>
      <c r="O51" s="262" t="str">
        <f t="shared" si="34"/>
        <v>N/A</v>
      </c>
    </row>
    <row r="52" spans="1:15" outlineLevel="1" x14ac:dyDescent="0.35">
      <c r="A52" s="228"/>
      <c r="B52" s="462" t="s">
        <v>274</v>
      </c>
      <c r="C52" s="648"/>
      <c r="D52" s="628"/>
      <c r="E52" s="275"/>
      <c r="F52" s="276"/>
      <c r="G52" s="276"/>
      <c r="H52" s="276"/>
      <c r="I52" s="276"/>
      <c r="J52" s="276"/>
      <c r="K52" s="276"/>
      <c r="L52" s="277"/>
      <c r="M52" s="274"/>
      <c r="N52" s="274">
        <f t="shared" si="33"/>
        <v>0</v>
      </c>
      <c r="O52" s="262" t="str">
        <f t="shared" si="34"/>
        <v>N/A</v>
      </c>
    </row>
    <row r="53" spans="1:15" outlineLevel="1" x14ac:dyDescent="0.35">
      <c r="A53" s="228"/>
      <c r="B53" s="462"/>
      <c r="C53" s="648"/>
      <c r="D53" s="629"/>
      <c r="E53" s="275"/>
      <c r="F53" s="276"/>
      <c r="G53" s="276"/>
      <c r="H53" s="276"/>
      <c r="I53" s="276"/>
      <c r="J53" s="276"/>
      <c r="K53" s="276"/>
      <c r="L53" s="277"/>
      <c r="M53" s="274"/>
      <c r="N53" s="274">
        <f t="shared" si="33"/>
        <v>0</v>
      </c>
      <c r="O53" s="262" t="str">
        <f t="shared" si="34"/>
        <v>N/A</v>
      </c>
    </row>
    <row r="54" spans="1:15" outlineLevel="1" x14ac:dyDescent="0.35">
      <c r="A54" s="230"/>
      <c r="B54" s="463"/>
      <c r="C54" s="649"/>
      <c r="D54" s="630"/>
      <c r="E54" s="266"/>
      <c r="F54" s="267"/>
      <c r="G54" s="267"/>
      <c r="H54" s="267"/>
      <c r="I54" s="267"/>
      <c r="J54" s="267"/>
      <c r="K54" s="267"/>
      <c r="L54" s="268"/>
      <c r="M54" s="263"/>
      <c r="N54" s="263">
        <f t="shared" si="33"/>
        <v>0</v>
      </c>
      <c r="O54" s="262" t="str">
        <f t="shared" si="34"/>
        <v>N/A</v>
      </c>
    </row>
    <row r="55" spans="1:15" outlineLevel="1" x14ac:dyDescent="0.35">
      <c r="A55" s="278" t="s">
        <v>381</v>
      </c>
      <c r="B55" s="279" t="s">
        <v>382</v>
      </c>
      <c r="C55" s="650"/>
      <c r="D55" s="280">
        <f>SUM(E55:L55)</f>
        <v>0</v>
      </c>
      <c r="E55" s="464">
        <f>E47*C55</f>
        <v>0</v>
      </c>
      <c r="F55" s="464">
        <f>(F47+E47)*C55</f>
        <v>0</v>
      </c>
      <c r="G55" s="464">
        <f>(G47+F47+E47)*C55</f>
        <v>0</v>
      </c>
      <c r="H55" s="464">
        <f>(H47+G47+F47+E47)*C55</f>
        <v>0</v>
      </c>
      <c r="I55" s="464">
        <f>(I47+H47+G47+F47+E47)*C55</f>
        <v>0</v>
      </c>
      <c r="J55" s="464">
        <f>(J47+I47+H47+G47+F47+E47)*C55</f>
        <v>0</v>
      </c>
      <c r="K55" s="464">
        <f>(K47+J47+I47+H47+G47+F47+E47)*C55</f>
        <v>0</v>
      </c>
      <c r="L55" s="465">
        <f>(L47+K47+J47+I47+H47+G47+F47+E47)*C55</f>
        <v>0</v>
      </c>
      <c r="M55" s="627"/>
      <c r="N55" s="273"/>
      <c r="O55" s="273"/>
    </row>
    <row r="56" spans="1:15" x14ac:dyDescent="0.35">
      <c r="A56" s="281" t="s">
        <v>383</v>
      </c>
      <c r="B56" s="282" t="s">
        <v>384</v>
      </c>
      <c r="C56" s="651"/>
      <c r="D56" s="283">
        <f>SUM(E56:L56)</f>
        <v>0</v>
      </c>
      <c r="E56" s="466">
        <f>E44*C56</f>
        <v>0</v>
      </c>
      <c r="F56" s="466">
        <f>(F44+E44)*C56</f>
        <v>0</v>
      </c>
      <c r="G56" s="466">
        <f>(G44+F44+E44)*C56</f>
        <v>0</v>
      </c>
      <c r="H56" s="466">
        <f>(H44+G44+F44+E44)*C56</f>
        <v>0</v>
      </c>
      <c r="I56" s="466">
        <f>(I44+H44+G44+F44+E44)*C56</f>
        <v>0</v>
      </c>
      <c r="J56" s="466">
        <f>(J44+I44+H44+G44+F44+E44)*C56</f>
        <v>0</v>
      </c>
      <c r="K56" s="466">
        <f>(K44+J44+I44+H44+G44+F44+E44)*C56</f>
        <v>0</v>
      </c>
      <c r="L56" s="467">
        <f>(L44+K44+J44+I44+H44+G44+F44+E44)*C56</f>
        <v>0</v>
      </c>
      <c r="M56" s="627"/>
      <c r="N56" s="273"/>
      <c r="O56" s="273"/>
    </row>
    <row r="57" spans="1:15" x14ac:dyDescent="0.35">
      <c r="A57" s="566" t="s">
        <v>448</v>
      </c>
      <c r="B57" s="567"/>
      <c r="C57" s="568"/>
      <c r="D57" s="569">
        <f>SUM(E57:L57)</f>
        <v>0</v>
      </c>
      <c r="E57" s="287">
        <f>SUMPRODUCT(E48:E54,C48:C54)</f>
        <v>0</v>
      </c>
      <c r="F57" s="287">
        <f>SUM(E48:F48)*C48+SUM(E49:F49)*C49+SUM(E50:F50)*C50+SUM(E51:F51)*C51+SUM(E52:F52)*C52+SUM(E53:F53)*C53+SUM(E54:F54)*C54</f>
        <v>0</v>
      </c>
      <c r="G57" s="287">
        <f>SUM(E48:G48)*C48+SUM(E49:G49)*C49+SUM(E50:G50)*C50+SUM(E51:G51)*C51+SUM(E52:G52)*C52+SUM(E53:G53)*C53+SUM(E54:G54)*C54</f>
        <v>0</v>
      </c>
      <c r="H57" s="287">
        <f>SUM(E48:H48)*C48+SUM(E49:H49)*C49+SUM(E50:H50)*C50+SUM(E51:H51)*C51+SUM(E52:H52)*C52+SUM(E53:H53)*C53+SUM(E54:H54)*C54</f>
        <v>0</v>
      </c>
      <c r="I57" s="287">
        <f>SUM(E48:I48)*C48+SUM(E49:I49)*C49+SUM(E50:I50)*C50+SUM(E51:I51)*C51+SUM(E52:I52)*C52+SUM(E53:I53)*C53+SUM(E54:I54)*C54</f>
        <v>0</v>
      </c>
      <c r="J57" s="287">
        <f>SUM(E48:J48)*C48+SUM(E49:J49)*C49+SUM(E50:J50)*C50+SUM(E51:J51)*C51+SUM(E52:J52)*C52+SUM(E53:J53)*C53+SUM(E54:J54)*C54</f>
        <v>0</v>
      </c>
      <c r="K57" s="287">
        <f>SUM(E48:K48)*C48+SUM(E49:K49)*C49+SUM(E50:K50)*C50+SUM(E51:K51)*C51+SUM(E52:K52)*C52+SUM(E53:K53)*C53+SUM(E54:K54)*C54</f>
        <v>0</v>
      </c>
      <c r="L57" s="565">
        <f>SUM(E48:L48)*C48+SUM(E49:L49)*C49+SUM(E50:L50)*C50+SUM(E51:L51)*C51+SUM(E52:L52)*C52+SUM(E53:L53)*C53+SUM(E54:L54)*C54</f>
        <v>0</v>
      </c>
      <c r="M57" s="627"/>
      <c r="N57" s="273"/>
      <c r="O57" s="273"/>
    </row>
    <row r="58" spans="1:15" x14ac:dyDescent="0.35">
      <c r="A58" s="228"/>
      <c r="B58" s="244"/>
      <c r="C58" s="284"/>
      <c r="D58" s="285"/>
      <c r="F58" s="286"/>
      <c r="G58" s="286"/>
      <c r="H58" s="286"/>
      <c r="I58" s="286"/>
      <c r="J58" s="286"/>
      <c r="K58" s="286"/>
      <c r="L58" s="287"/>
      <c r="M58" s="286"/>
      <c r="N58" s="273"/>
      <c r="O58" s="273"/>
    </row>
    <row r="59" spans="1:15" hidden="1" outlineLevel="1" x14ac:dyDescent="0.35">
      <c r="A59" s="251" t="s">
        <v>307</v>
      </c>
      <c r="B59" s="252"/>
      <c r="C59" s="252"/>
      <c r="D59" s="253">
        <f>'Vue d''ensemble'!E28</f>
        <v>0</v>
      </c>
      <c r="E59" s="459">
        <f>SUM(E60:E61)+E62</f>
        <v>0</v>
      </c>
      <c r="F59" s="459">
        <f t="shared" ref="F59" si="35">SUM(F60:F61)+F62</f>
        <v>0</v>
      </c>
      <c r="G59" s="459">
        <f t="shared" ref="G59" si="36">SUM(G60:G61)+G62</f>
        <v>0</v>
      </c>
      <c r="H59" s="459">
        <f t="shared" ref="H59" si="37">SUM(H60:H61)+H62</f>
        <v>0</v>
      </c>
      <c r="I59" s="459">
        <f t="shared" ref="I59" si="38">SUM(I60:I61)+I62</f>
        <v>0</v>
      </c>
      <c r="J59" s="459">
        <f t="shared" ref="J59" si="39">SUM(J60:J61)+J62</f>
        <v>0</v>
      </c>
      <c r="K59" s="459">
        <f t="shared" ref="K59" si="40">SUM(K60:K61)+K62</f>
        <v>0</v>
      </c>
      <c r="L59" s="459">
        <f t="shared" ref="L59" si="41">SUM(L60:L61)+L62</f>
        <v>0</v>
      </c>
      <c r="M59" s="626"/>
      <c r="N59" s="288">
        <f>SUM(E59:L59)</f>
        <v>0</v>
      </c>
      <c r="O59" s="254">
        <f>SUM(O60:O69)</f>
        <v>0</v>
      </c>
    </row>
    <row r="60" spans="1:15" hidden="1" outlineLevel="1" x14ac:dyDescent="0.35">
      <c r="A60" s="228"/>
      <c r="B60" s="255" t="s">
        <v>269</v>
      </c>
      <c r="C60" s="256">
        <v>0</v>
      </c>
      <c r="D60" s="257">
        <f>'Vue d''ensemble'!T28</f>
        <v>0</v>
      </c>
      <c r="E60" s="259"/>
      <c r="F60" s="260"/>
      <c r="G60" s="260"/>
      <c r="H60" s="260"/>
      <c r="I60" s="260"/>
      <c r="J60" s="260"/>
      <c r="K60" s="260"/>
      <c r="L60" s="261">
        <f>IFERROR(D60*0.2,"")</f>
        <v>0</v>
      </c>
      <c r="M60" s="621" t="str">
        <f>IF(SUM(E60:L60)='Vue d''ensemble'!T28,"correcte","ne correspond pas")</f>
        <v>correcte</v>
      </c>
      <c r="N60" s="255"/>
      <c r="O60" s="262" t="str">
        <f>IFERROR(SUM(E60:L60)/$D$59,"N/A")</f>
        <v>N/A</v>
      </c>
    </row>
    <row r="61" spans="1:15" hidden="1" outlineLevel="1" x14ac:dyDescent="0.35">
      <c r="A61" s="228"/>
      <c r="B61" s="263" t="s">
        <v>270</v>
      </c>
      <c r="C61" s="264">
        <v>0</v>
      </c>
      <c r="D61" s="631"/>
      <c r="E61" s="266"/>
      <c r="F61" s="267"/>
      <c r="G61" s="267"/>
      <c r="H61" s="267"/>
      <c r="I61" s="267"/>
      <c r="J61" s="267"/>
      <c r="K61" s="267"/>
      <c r="L61" s="268"/>
      <c r="M61" s="263"/>
      <c r="N61" s="263"/>
      <c r="O61" s="262" t="str">
        <f>IFERROR(SUM(E61:L61)/$D$59,"N/A")</f>
        <v>N/A</v>
      </c>
    </row>
    <row r="62" spans="1:15" hidden="1" outlineLevel="1" x14ac:dyDescent="0.35">
      <c r="A62" s="269"/>
      <c r="B62" s="244"/>
      <c r="C62" s="270"/>
      <c r="D62" s="271"/>
      <c r="E62" s="460">
        <f>SUM(E63:E69)</f>
        <v>0</v>
      </c>
      <c r="F62" s="460">
        <f t="shared" ref="F62" si="42">SUM(F63:F69)</f>
        <v>0</v>
      </c>
      <c r="G62" s="460">
        <f t="shared" ref="G62" si="43">SUM(G63:G69)</f>
        <v>0</v>
      </c>
      <c r="H62" s="460">
        <f t="shared" ref="H62" si="44">SUM(H63:H69)</f>
        <v>0</v>
      </c>
      <c r="I62" s="460">
        <f t="shared" ref="I62" si="45">SUM(I63:I69)</f>
        <v>0</v>
      </c>
      <c r="J62" s="460">
        <f t="shared" ref="J62" si="46">SUM(J63:J69)</f>
        <v>0</v>
      </c>
      <c r="K62" s="460">
        <f t="shared" ref="K62" si="47">SUM(K63:K69)</f>
        <v>0</v>
      </c>
      <c r="L62" s="460">
        <f t="shared" ref="L62" si="48">SUM(L63:L69)</f>
        <v>0</v>
      </c>
      <c r="M62" s="274"/>
      <c r="N62" s="272"/>
      <c r="O62" s="262"/>
    </row>
    <row r="63" spans="1:15" hidden="1" outlineLevel="1" x14ac:dyDescent="0.35">
      <c r="A63" s="228"/>
      <c r="B63" s="461" t="s">
        <v>274</v>
      </c>
      <c r="C63" s="647"/>
      <c r="D63" s="257"/>
      <c r="E63" s="259"/>
      <c r="F63" s="260"/>
      <c r="G63" s="260"/>
      <c r="H63" s="260"/>
      <c r="I63" s="260"/>
      <c r="J63" s="260"/>
      <c r="K63" s="260"/>
      <c r="L63" s="261"/>
      <c r="M63" s="255"/>
      <c r="N63" s="255">
        <f t="shared" ref="N63:N69" si="49">SUM(E63:L63)</f>
        <v>0</v>
      </c>
      <c r="O63" s="262" t="str">
        <f t="shared" ref="O63:O69" si="50">IFERROR(SUM(E63:L63)/$D$59,"N/A")</f>
        <v>N/A</v>
      </c>
    </row>
    <row r="64" spans="1:15" hidden="1" outlineLevel="1" x14ac:dyDescent="0.35">
      <c r="A64" s="228"/>
      <c r="B64" s="462"/>
      <c r="C64" s="648"/>
      <c r="D64" s="628"/>
      <c r="E64" s="275"/>
      <c r="F64" s="276"/>
      <c r="G64" s="276"/>
      <c r="H64" s="276"/>
      <c r="I64" s="276"/>
      <c r="J64" s="276"/>
      <c r="K64" s="276"/>
      <c r="L64" s="277"/>
      <c r="M64" s="274"/>
      <c r="N64" s="274">
        <f t="shared" si="49"/>
        <v>0</v>
      </c>
      <c r="O64" s="262" t="str">
        <f t="shared" si="50"/>
        <v>N/A</v>
      </c>
    </row>
    <row r="65" spans="1:15" hidden="1" outlineLevel="1" x14ac:dyDescent="0.35">
      <c r="A65" s="228"/>
      <c r="B65" s="462"/>
      <c r="C65" s="648"/>
      <c r="D65" s="628"/>
      <c r="E65" s="275"/>
      <c r="F65" s="276"/>
      <c r="G65" s="276"/>
      <c r="H65" s="276"/>
      <c r="I65" s="276"/>
      <c r="J65" s="276"/>
      <c r="K65" s="276"/>
      <c r="L65" s="277"/>
      <c r="M65" s="274"/>
      <c r="N65" s="274">
        <f t="shared" si="49"/>
        <v>0</v>
      </c>
      <c r="O65" s="262" t="str">
        <f t="shared" si="50"/>
        <v>N/A</v>
      </c>
    </row>
    <row r="66" spans="1:15" hidden="1" outlineLevel="1" x14ac:dyDescent="0.35">
      <c r="A66" s="228"/>
      <c r="B66" s="462" t="s">
        <v>274</v>
      </c>
      <c r="C66" s="648"/>
      <c r="D66" s="628"/>
      <c r="E66" s="275"/>
      <c r="F66" s="276"/>
      <c r="G66" s="276"/>
      <c r="H66" s="276"/>
      <c r="I66" s="276"/>
      <c r="J66" s="276"/>
      <c r="K66" s="276"/>
      <c r="L66" s="277"/>
      <c r="M66" s="274"/>
      <c r="N66" s="274">
        <f t="shared" si="49"/>
        <v>0</v>
      </c>
      <c r="O66" s="262" t="str">
        <f t="shared" si="50"/>
        <v>N/A</v>
      </c>
    </row>
    <row r="67" spans="1:15" hidden="1" outlineLevel="1" x14ac:dyDescent="0.35">
      <c r="A67" s="228"/>
      <c r="B67" s="462"/>
      <c r="C67" s="648"/>
      <c r="D67" s="628"/>
      <c r="E67" s="275"/>
      <c r="F67" s="276"/>
      <c r="G67" s="276"/>
      <c r="H67" s="276"/>
      <c r="I67" s="276"/>
      <c r="J67" s="276"/>
      <c r="K67" s="276"/>
      <c r="L67" s="277"/>
      <c r="M67" s="274"/>
      <c r="N67" s="274">
        <f t="shared" si="49"/>
        <v>0</v>
      </c>
      <c r="O67" s="262" t="str">
        <f t="shared" si="50"/>
        <v>N/A</v>
      </c>
    </row>
    <row r="68" spans="1:15" hidden="1" outlineLevel="1" x14ac:dyDescent="0.35">
      <c r="A68" s="228"/>
      <c r="B68" s="462"/>
      <c r="C68" s="648"/>
      <c r="D68" s="629"/>
      <c r="E68" s="275"/>
      <c r="F68" s="276"/>
      <c r="G68" s="276"/>
      <c r="H68" s="276"/>
      <c r="I68" s="276"/>
      <c r="J68" s="276"/>
      <c r="K68" s="276"/>
      <c r="L68" s="277"/>
      <c r="M68" s="274"/>
      <c r="N68" s="274">
        <f t="shared" si="49"/>
        <v>0</v>
      </c>
      <c r="O68" s="262" t="str">
        <f t="shared" si="50"/>
        <v>N/A</v>
      </c>
    </row>
    <row r="69" spans="1:15" hidden="1" outlineLevel="1" x14ac:dyDescent="0.35">
      <c r="A69" s="230"/>
      <c r="B69" s="463"/>
      <c r="C69" s="649"/>
      <c r="D69" s="630"/>
      <c r="E69" s="266"/>
      <c r="F69" s="267"/>
      <c r="G69" s="267"/>
      <c r="H69" s="267"/>
      <c r="I69" s="267"/>
      <c r="J69" s="267"/>
      <c r="K69" s="267"/>
      <c r="L69" s="268"/>
      <c r="M69" s="263"/>
      <c r="N69" s="263">
        <f t="shared" si="49"/>
        <v>0</v>
      </c>
      <c r="O69" s="262" t="str">
        <f t="shared" si="50"/>
        <v>N/A</v>
      </c>
    </row>
    <row r="70" spans="1:15" hidden="1" outlineLevel="1" x14ac:dyDescent="0.35">
      <c r="A70" s="278" t="s">
        <v>381</v>
      </c>
      <c r="B70" s="279" t="s">
        <v>382</v>
      </c>
      <c r="C70" s="650"/>
      <c r="D70" s="280">
        <f>SUM(E70:L70)</f>
        <v>0</v>
      </c>
      <c r="E70" s="464">
        <f>E62*C70</f>
        <v>0</v>
      </c>
      <c r="F70" s="464">
        <f>(F62+E62)*C70</f>
        <v>0</v>
      </c>
      <c r="G70" s="464">
        <f>(G62+F62+E62)*C70</f>
        <v>0</v>
      </c>
      <c r="H70" s="464">
        <f>(H62+G62+F62+E62)*C70</f>
        <v>0</v>
      </c>
      <c r="I70" s="464">
        <f>(I62+H62+G62+F62+E62)*C70</f>
        <v>0</v>
      </c>
      <c r="J70" s="464">
        <f>(J62+I62+H62+G62+F62+E62)*C70</f>
        <v>0</v>
      </c>
      <c r="K70" s="464">
        <f>(K62+J62+I62+H62+G62+F62+E62)*C70</f>
        <v>0</v>
      </c>
      <c r="L70" s="465">
        <f>(L62+K62+J62+I62+H62+G62+F62+E62)*C70</f>
        <v>0</v>
      </c>
      <c r="M70" s="627"/>
      <c r="N70" s="273"/>
      <c r="O70" s="273"/>
    </row>
    <row r="71" spans="1:15" hidden="1" outlineLevel="1" x14ac:dyDescent="0.35">
      <c r="A71" s="281" t="s">
        <v>383</v>
      </c>
      <c r="B71" s="282" t="s">
        <v>384</v>
      </c>
      <c r="C71" s="651"/>
      <c r="D71" s="283">
        <f>SUM(E71:L71)</f>
        <v>0</v>
      </c>
      <c r="E71" s="466">
        <f>E59*C71</f>
        <v>0</v>
      </c>
      <c r="F71" s="466">
        <f>(F59+E59)*C71</f>
        <v>0</v>
      </c>
      <c r="G71" s="466">
        <f>(G59+F59+E59)*C71</f>
        <v>0</v>
      </c>
      <c r="H71" s="466">
        <f>(H59+G59+F59+E59)*C71</f>
        <v>0</v>
      </c>
      <c r="I71" s="466">
        <f>(I59+H59+G59+F59+E59)*C71</f>
        <v>0</v>
      </c>
      <c r="J71" s="466">
        <f>(J59+I59+H59+G59+F59+E59)*C71</f>
        <v>0</v>
      </c>
      <c r="K71" s="466">
        <f>(K59+J59+I59+H59+G59+F59+E59)*C71</f>
        <v>0</v>
      </c>
      <c r="L71" s="467">
        <f>(L59+K59+J59+I59+H59+G59+F59+E59)*C71</f>
        <v>0</v>
      </c>
      <c r="M71" s="627"/>
      <c r="N71" s="273"/>
      <c r="O71" s="273"/>
    </row>
    <row r="72" spans="1:15" hidden="1" outlineLevel="1" x14ac:dyDescent="0.35">
      <c r="A72" s="566" t="s">
        <v>448</v>
      </c>
      <c r="B72" s="567"/>
      <c r="C72" s="568"/>
      <c r="D72" s="569">
        <f>SUM(E72:L72)</f>
        <v>0</v>
      </c>
      <c r="E72" s="287">
        <f>SUMPRODUCT(E63:E69,C63:C69)</f>
        <v>0</v>
      </c>
      <c r="F72" s="287">
        <f>SUM(E63:F63)*C63+SUM(E64:F64)*C64+SUM(E65:F65)*C65+SUM(E66:F66)*C66+SUM(E67:F67)*C67+SUM(E68:F68)*C68+SUM(E69:F69)*C69</f>
        <v>0</v>
      </c>
      <c r="G72" s="287">
        <f>SUM(E63:G63)*C63+SUM(E64:G64)*C64+SUM(E65:G65)*C65+SUM(E66:G66)*C66+SUM(E67:G67)*C67+SUM(E68:G68)*C68+SUM(E69:G69)*C69</f>
        <v>0</v>
      </c>
      <c r="H72" s="287">
        <f>SUM(E63:H63)*C63+SUM(E64:H64)*C64+SUM(E65:H65)*C65+SUM(E66:H66)*C66+SUM(E67:H67)*C67+SUM(E68:H68)*C68+SUM(E69:H69)*C69</f>
        <v>0</v>
      </c>
      <c r="I72" s="287">
        <f>SUM(E63:I63)*C63+SUM(E64:I64)*C64+SUM(E65:I65)*C65+SUM(E66:I66)*C66+SUM(E67:I67)*C67+SUM(E68:I68)*C68+SUM(E69:I69)*C69</f>
        <v>0</v>
      </c>
      <c r="J72" s="287">
        <f>SUM(E63:J63)*C63+SUM(E64:J64)*C64+SUM(E65:J65)*C65+SUM(E66:J66)*C66+SUM(E67:J67)*C67+SUM(E68:J68)*C68+SUM(E69:J69)*C69</f>
        <v>0</v>
      </c>
      <c r="K72" s="287">
        <f>SUM(E63:K63)*C63+SUM(E64:K64)*C64+SUM(E65:K65)*C65+SUM(E66:K66)*C66+SUM(E67:K67)*C67+SUM(E68:K68)*C68+SUM(E69:K69)*C69</f>
        <v>0</v>
      </c>
      <c r="L72" s="565">
        <f>SUM(E63:L63)*C63+SUM(E64:L64)*C64+SUM(E65:L65)*C65+SUM(E66:L66)*C66+SUM(E67:L67)*C67+SUM(E68:L68)*C68+SUM(E69:L69)*C69</f>
        <v>0</v>
      </c>
      <c r="M72" s="627"/>
      <c r="N72" s="273"/>
      <c r="O72" s="273"/>
    </row>
    <row r="73" spans="1:15" hidden="1" outlineLevel="1" x14ac:dyDescent="0.35">
      <c r="A73" s="228"/>
      <c r="B73" s="244"/>
      <c r="C73" s="284"/>
      <c r="D73" s="285"/>
      <c r="F73" s="286"/>
      <c r="G73" s="286"/>
      <c r="H73" s="286"/>
      <c r="I73" s="286"/>
      <c r="J73" s="286"/>
      <c r="K73" s="286"/>
      <c r="L73" s="287"/>
      <c r="M73" s="286"/>
      <c r="N73" s="273"/>
      <c r="O73" s="273"/>
    </row>
    <row r="74" spans="1:15" hidden="1" outlineLevel="1" x14ac:dyDescent="0.35">
      <c r="A74" s="251" t="s">
        <v>308</v>
      </c>
      <c r="B74" s="252"/>
      <c r="C74" s="252"/>
      <c r="D74" s="253">
        <f>'Vue d''ensemble'!B29</f>
        <v>0</v>
      </c>
      <c r="E74" s="459">
        <f>SUM(E75:E76)+E77</f>
        <v>0</v>
      </c>
      <c r="F74" s="459">
        <f t="shared" ref="F74" si="51">SUM(F75:F76)+F77</f>
        <v>0</v>
      </c>
      <c r="G74" s="459">
        <f t="shared" ref="G74" si="52">SUM(G75:G76)+G77</f>
        <v>0</v>
      </c>
      <c r="H74" s="459">
        <f t="shared" ref="H74" si="53">SUM(H75:H76)+H77</f>
        <v>0</v>
      </c>
      <c r="I74" s="459">
        <f t="shared" ref="I74" si="54">SUM(I75:I76)+I77</f>
        <v>0</v>
      </c>
      <c r="J74" s="459">
        <f t="shared" ref="J74" si="55">SUM(J75:J76)+J77</f>
        <v>0</v>
      </c>
      <c r="K74" s="459">
        <f t="shared" ref="K74" si="56">SUM(K75:K76)+K77</f>
        <v>0</v>
      </c>
      <c r="L74" s="459">
        <f t="shared" ref="L74" si="57">SUM(L75:L76)+L77</f>
        <v>0</v>
      </c>
      <c r="M74" s="626"/>
      <c r="N74" s="288">
        <f>SUM(E74:L74)</f>
        <v>0</v>
      </c>
      <c r="O74" s="254">
        <f>SUM(O75:O84)</f>
        <v>0</v>
      </c>
    </row>
    <row r="75" spans="1:15" hidden="1" outlineLevel="1" x14ac:dyDescent="0.35">
      <c r="A75" s="228"/>
      <c r="B75" s="255" t="s">
        <v>269</v>
      </c>
      <c r="C75" s="256">
        <v>0</v>
      </c>
      <c r="D75" s="257">
        <f>'Vue d''ensemble'!T29</f>
        <v>0</v>
      </c>
      <c r="E75" s="259"/>
      <c r="F75" s="260"/>
      <c r="G75" s="260"/>
      <c r="H75" s="260"/>
      <c r="I75" s="260"/>
      <c r="J75" s="260"/>
      <c r="K75" s="260"/>
      <c r="L75" s="261">
        <f>IFERROR(D75*0.2,"")</f>
        <v>0</v>
      </c>
      <c r="M75" s="621" t="str">
        <f>IF(SUM(E75:L75)='Vue d''ensemble'!T29,"correcte","ne correspond pas")</f>
        <v>correcte</v>
      </c>
      <c r="N75" s="258">
        <f>SUM(E75:L75)</f>
        <v>0</v>
      </c>
      <c r="O75" s="262" t="str">
        <f>IFERROR(SUM(E75:L75)/$D$74,"N/A")</f>
        <v>N/A</v>
      </c>
    </row>
    <row r="76" spans="1:15" hidden="1" outlineLevel="1" x14ac:dyDescent="0.35">
      <c r="A76" s="228"/>
      <c r="B76" s="263" t="s">
        <v>270</v>
      </c>
      <c r="C76" s="264">
        <v>0</v>
      </c>
      <c r="D76" s="631"/>
      <c r="E76" s="266"/>
      <c r="F76" s="267"/>
      <c r="G76" s="267"/>
      <c r="H76" s="267"/>
      <c r="I76" s="267"/>
      <c r="J76" s="267"/>
      <c r="K76" s="267"/>
      <c r="L76" s="268"/>
      <c r="M76" s="263"/>
      <c r="N76" s="265">
        <f>SUM(E76:L76)</f>
        <v>0</v>
      </c>
      <c r="O76" s="262" t="str">
        <f>IFERROR(SUM(E76:L76)/$D$74,"N/A")</f>
        <v>N/A</v>
      </c>
    </row>
    <row r="77" spans="1:15" hidden="1" outlineLevel="1" x14ac:dyDescent="0.35">
      <c r="A77" s="269"/>
      <c r="B77" s="244"/>
      <c r="C77" s="270"/>
      <c r="D77" s="271"/>
      <c r="E77" s="460">
        <f>SUM(E78:E84)</f>
        <v>0</v>
      </c>
      <c r="F77" s="460">
        <f t="shared" ref="F77" si="58">SUM(F78:F84)</f>
        <v>0</v>
      </c>
      <c r="G77" s="460">
        <f t="shared" ref="G77" si="59">SUM(G78:G84)</f>
        <v>0</v>
      </c>
      <c r="H77" s="460">
        <f t="shared" ref="H77" si="60">SUM(H78:H84)</f>
        <v>0</v>
      </c>
      <c r="I77" s="460">
        <f t="shared" ref="I77" si="61">SUM(I78:I84)</f>
        <v>0</v>
      </c>
      <c r="J77" s="460">
        <f t="shared" ref="J77" si="62">SUM(J78:J84)</f>
        <v>0</v>
      </c>
      <c r="K77" s="460">
        <f t="shared" ref="K77" si="63">SUM(K78:K84)</f>
        <v>0</v>
      </c>
      <c r="L77" s="460">
        <f t="shared" ref="L77" si="64">SUM(L78:L84)</f>
        <v>0</v>
      </c>
      <c r="M77" s="274"/>
      <c r="N77" s="272"/>
      <c r="O77" s="262"/>
    </row>
    <row r="78" spans="1:15" hidden="1" outlineLevel="1" x14ac:dyDescent="0.35">
      <c r="A78" s="228"/>
      <c r="B78" s="461" t="s">
        <v>274</v>
      </c>
      <c r="C78" s="647"/>
      <c r="D78" s="257"/>
      <c r="E78" s="259"/>
      <c r="F78" s="260"/>
      <c r="G78" s="260"/>
      <c r="H78" s="260"/>
      <c r="I78" s="260"/>
      <c r="J78" s="260"/>
      <c r="K78" s="260"/>
      <c r="L78" s="261"/>
      <c r="M78" s="255"/>
      <c r="N78" s="255">
        <f t="shared" ref="N78:N84" si="65">SUM(E78:L78)</f>
        <v>0</v>
      </c>
      <c r="O78" s="262" t="str">
        <f t="shared" ref="O78:O84" si="66">IFERROR(SUM(E78:L78)/$D$74,"N/A")</f>
        <v>N/A</v>
      </c>
    </row>
    <row r="79" spans="1:15" hidden="1" outlineLevel="1" x14ac:dyDescent="0.35">
      <c r="A79" s="228"/>
      <c r="B79" s="462"/>
      <c r="C79" s="648"/>
      <c r="D79" s="628"/>
      <c r="E79" s="275"/>
      <c r="F79" s="276"/>
      <c r="G79" s="276"/>
      <c r="H79" s="276"/>
      <c r="I79" s="276"/>
      <c r="J79" s="276"/>
      <c r="K79" s="276"/>
      <c r="L79" s="277"/>
      <c r="M79" s="274"/>
      <c r="N79" s="274">
        <f t="shared" si="65"/>
        <v>0</v>
      </c>
      <c r="O79" s="262" t="str">
        <f t="shared" si="66"/>
        <v>N/A</v>
      </c>
    </row>
    <row r="80" spans="1:15" hidden="1" outlineLevel="1" x14ac:dyDescent="0.35">
      <c r="A80" s="228"/>
      <c r="B80" s="462"/>
      <c r="C80" s="648"/>
      <c r="D80" s="628"/>
      <c r="E80" s="275"/>
      <c r="F80" s="276"/>
      <c r="G80" s="276"/>
      <c r="H80" s="276"/>
      <c r="I80" s="276"/>
      <c r="J80" s="276"/>
      <c r="K80" s="276"/>
      <c r="L80" s="277"/>
      <c r="M80" s="274"/>
      <c r="N80" s="274">
        <f t="shared" si="65"/>
        <v>0</v>
      </c>
      <c r="O80" s="262" t="str">
        <f t="shared" si="66"/>
        <v>N/A</v>
      </c>
    </row>
    <row r="81" spans="1:15" hidden="1" outlineLevel="1" x14ac:dyDescent="0.35">
      <c r="A81" s="228"/>
      <c r="B81" s="462"/>
      <c r="C81" s="648"/>
      <c r="D81" s="628"/>
      <c r="E81" s="275"/>
      <c r="F81" s="276"/>
      <c r="G81" s="276"/>
      <c r="H81" s="276"/>
      <c r="I81" s="276"/>
      <c r="J81" s="276"/>
      <c r="K81" s="276"/>
      <c r="L81" s="277"/>
      <c r="M81" s="274"/>
      <c r="N81" s="274">
        <f t="shared" si="65"/>
        <v>0</v>
      </c>
      <c r="O81" s="262" t="str">
        <f t="shared" si="66"/>
        <v>N/A</v>
      </c>
    </row>
    <row r="82" spans="1:15" hidden="1" outlineLevel="1" x14ac:dyDescent="0.35">
      <c r="A82" s="228"/>
      <c r="B82" s="462"/>
      <c r="C82" s="648"/>
      <c r="D82" s="628"/>
      <c r="E82" s="275"/>
      <c r="F82" s="276"/>
      <c r="G82" s="276"/>
      <c r="H82" s="276"/>
      <c r="I82" s="276"/>
      <c r="J82" s="276"/>
      <c r="K82" s="276"/>
      <c r="L82" s="277"/>
      <c r="M82" s="274"/>
      <c r="N82" s="274">
        <f t="shared" si="65"/>
        <v>0</v>
      </c>
      <c r="O82" s="262" t="str">
        <f t="shared" si="66"/>
        <v>N/A</v>
      </c>
    </row>
    <row r="83" spans="1:15" hidden="1" outlineLevel="1" x14ac:dyDescent="0.35">
      <c r="A83" s="228"/>
      <c r="B83" s="462"/>
      <c r="C83" s="648"/>
      <c r="D83" s="629"/>
      <c r="E83" s="275"/>
      <c r="F83" s="276"/>
      <c r="G83" s="276"/>
      <c r="H83" s="276"/>
      <c r="I83" s="276"/>
      <c r="J83" s="276"/>
      <c r="K83" s="276"/>
      <c r="L83" s="277"/>
      <c r="M83" s="274"/>
      <c r="N83" s="274">
        <f t="shared" si="65"/>
        <v>0</v>
      </c>
      <c r="O83" s="262" t="str">
        <f t="shared" si="66"/>
        <v>N/A</v>
      </c>
    </row>
    <row r="84" spans="1:15" hidden="1" outlineLevel="1" x14ac:dyDescent="0.35">
      <c r="A84" s="230"/>
      <c r="B84" s="463"/>
      <c r="C84" s="649"/>
      <c r="D84" s="630"/>
      <c r="E84" s="266"/>
      <c r="F84" s="267"/>
      <c r="G84" s="267"/>
      <c r="H84" s="267"/>
      <c r="I84" s="267"/>
      <c r="J84" s="267"/>
      <c r="K84" s="267"/>
      <c r="L84" s="268"/>
      <c r="M84" s="263"/>
      <c r="N84" s="263">
        <f t="shared" si="65"/>
        <v>0</v>
      </c>
      <c r="O84" s="262" t="str">
        <f t="shared" si="66"/>
        <v>N/A</v>
      </c>
    </row>
    <row r="85" spans="1:15" hidden="1" outlineLevel="1" x14ac:dyDescent="0.35">
      <c r="A85" s="278" t="s">
        <v>381</v>
      </c>
      <c r="B85" s="279" t="s">
        <v>382</v>
      </c>
      <c r="C85" s="650"/>
      <c r="D85" s="280">
        <f>SUM(E85:L85)</f>
        <v>0</v>
      </c>
      <c r="E85" s="464">
        <f>E77*C85</f>
        <v>0</v>
      </c>
      <c r="F85" s="464">
        <f>(F77+E77)*C85</f>
        <v>0</v>
      </c>
      <c r="G85" s="464">
        <f>(G77+F77+E77)*C85</f>
        <v>0</v>
      </c>
      <c r="H85" s="464">
        <f>(H77+G77+F77+E77)*C85</f>
        <v>0</v>
      </c>
      <c r="I85" s="464">
        <f>(I77+H77+G77+F77+E77)*C85</f>
        <v>0</v>
      </c>
      <c r="J85" s="464">
        <f>(J77+I77+H77+G77+F77+E77)*C85</f>
        <v>0</v>
      </c>
      <c r="K85" s="464">
        <f>(K77+J77+I77+H77+G77+F77+E77)*C85</f>
        <v>0</v>
      </c>
      <c r="L85" s="465">
        <f>(L77+K77+J77+I77+H77+G77+F77+E77)*C85</f>
        <v>0</v>
      </c>
      <c r="M85" s="627"/>
      <c r="N85" s="273"/>
      <c r="O85" s="273"/>
    </row>
    <row r="86" spans="1:15" hidden="1" outlineLevel="1" x14ac:dyDescent="0.35">
      <c r="A86" s="281" t="s">
        <v>383</v>
      </c>
      <c r="B86" s="282" t="s">
        <v>384</v>
      </c>
      <c r="C86" s="651"/>
      <c r="D86" s="283">
        <f>SUM(E86:L86)</f>
        <v>0</v>
      </c>
      <c r="E86" s="466">
        <f>E74*C86</f>
        <v>0</v>
      </c>
      <c r="F86" s="466">
        <f>(F74+E74)*C86</f>
        <v>0</v>
      </c>
      <c r="G86" s="466">
        <f>(G74+F74+E74)*C86</f>
        <v>0</v>
      </c>
      <c r="H86" s="466">
        <f>(H74+G74+F74+E74)*C86</f>
        <v>0</v>
      </c>
      <c r="I86" s="466">
        <f>(I74+H74+G74+F74+E74)*C86</f>
        <v>0</v>
      </c>
      <c r="J86" s="466">
        <f>(J74+I74+H74+G74+F74+E74)*C86</f>
        <v>0</v>
      </c>
      <c r="K86" s="466">
        <f>(K74+J74+I74+H74+G74+F74+E74)*C86</f>
        <v>0</v>
      </c>
      <c r="L86" s="467">
        <f>(L74+K74+J74+I74+H74+G74+F74+E74)*C86</f>
        <v>0</v>
      </c>
      <c r="M86" s="627"/>
      <c r="N86" s="273"/>
      <c r="O86" s="273"/>
    </row>
    <row r="87" spans="1:15" hidden="1" outlineLevel="1" x14ac:dyDescent="0.35">
      <c r="A87" s="566" t="s">
        <v>448</v>
      </c>
      <c r="B87" s="567"/>
      <c r="C87" s="568"/>
      <c r="D87" s="569">
        <f>SUM(E87:L87)</f>
        <v>0</v>
      </c>
      <c r="E87" s="287">
        <f>SUMPRODUCT(E78:E84,C78:C84)</f>
        <v>0</v>
      </c>
      <c r="F87" s="287">
        <f>SUM(E78:F78)*C78+SUM(E79:F79)*C79+SUM(E80:F80)*C80+SUM(E81:F81)*C81+SUM(E82:F82)*C82+SUM(E83:F83)*C83+SUM(E84:F84)*C84</f>
        <v>0</v>
      </c>
      <c r="G87" s="287">
        <f>SUM(E78:G78)*C78+SUM(E79:G79)*C79+SUM(E80:G80)*C80+SUM(E81:G81)*C81+SUM(E82:G82)*C82+SUM(E83:G83)*C83+SUM(E84:G84)*C84</f>
        <v>0</v>
      </c>
      <c r="H87" s="287">
        <f>SUM(E78:H78)*C78+SUM(E79:H79)*C79+SUM(E80:H80)*C80+SUM(E81:H81)*C81+SUM(E82:H82)*C82+SUM(E83:H83)*C83+SUM(E84:H84)*C84</f>
        <v>0</v>
      </c>
      <c r="I87" s="287">
        <f>SUM(E78:I78)*C78+SUM(E79:I79)*C79+SUM(E80:I80)*C80+SUM(E81:I81)*C81+SUM(E82:I82)*C82+SUM(E83:I83)*C83+SUM(E84:I84)*C84</f>
        <v>0</v>
      </c>
      <c r="J87" s="287">
        <f>SUM(E78:J78)*C78+SUM(E79:J79)*C79+SUM(E80:J80)*C80+SUM(E81:J81)*C81+SUM(E82:J82)*C82+SUM(E83:J83)*C83+SUM(E84:J84)*C84</f>
        <v>0</v>
      </c>
      <c r="K87" s="287">
        <f>SUM(E78:K78)*C78+SUM(E79:K79)*C79+SUM(E80:K80)*C80+SUM(E81:K81)*C81+SUM(E82:K82)*C82+SUM(E83:K83)*C83+SUM(E84:K84)*C84</f>
        <v>0</v>
      </c>
      <c r="L87" s="565">
        <f>SUM(E78:L78)*C78+SUM(E79:L79)*C79+SUM(E80:L80)*C80+SUM(E81:L81)*C81+SUM(E82:L82)*C82+SUM(E83:L83)*C83+SUM(E84:L84)*C84</f>
        <v>0</v>
      </c>
      <c r="M87" s="627"/>
      <c r="N87" s="273"/>
      <c r="O87" s="273"/>
    </row>
    <row r="88" spans="1:15" hidden="1" outlineLevel="1" x14ac:dyDescent="0.35">
      <c r="A88" s="228"/>
      <c r="B88" s="244"/>
      <c r="C88" s="284"/>
      <c r="D88" s="285"/>
      <c r="F88" s="286"/>
      <c r="G88" s="286"/>
      <c r="H88" s="286"/>
      <c r="I88" s="286"/>
      <c r="J88" s="286"/>
      <c r="K88" s="286"/>
      <c r="L88" s="287"/>
      <c r="M88" s="286"/>
      <c r="N88" s="273"/>
      <c r="O88" s="273"/>
    </row>
    <row r="89" spans="1:15" hidden="1" outlineLevel="1" x14ac:dyDescent="0.35">
      <c r="A89" s="251" t="s">
        <v>309</v>
      </c>
      <c r="B89" s="252"/>
      <c r="C89" s="252"/>
      <c r="D89" s="253">
        <f>'Vue d''ensemble'!B30</f>
        <v>0</v>
      </c>
      <c r="E89" s="459">
        <f>SUM(E90:E91)+E92</f>
        <v>0</v>
      </c>
      <c r="F89" s="459">
        <f t="shared" ref="F89" si="67">SUM(F90:F91)+F92</f>
        <v>0</v>
      </c>
      <c r="G89" s="459">
        <f t="shared" ref="G89" si="68">SUM(G90:G91)+G92</f>
        <v>0</v>
      </c>
      <c r="H89" s="459">
        <f t="shared" ref="H89:L89" si="69">SUM(H90:H91)+H92</f>
        <v>0</v>
      </c>
      <c r="I89" s="459">
        <f t="shared" si="69"/>
        <v>0</v>
      </c>
      <c r="J89" s="459">
        <f t="shared" si="69"/>
        <v>0</v>
      </c>
      <c r="K89" s="459">
        <f t="shared" si="69"/>
        <v>0</v>
      </c>
      <c r="L89" s="459">
        <f t="shared" si="69"/>
        <v>0</v>
      </c>
      <c r="M89" s="626"/>
      <c r="N89" s="288">
        <f>SUM(E89:L89)</f>
        <v>0</v>
      </c>
      <c r="O89" s="254">
        <f>SUM(O90:O99)</f>
        <v>0</v>
      </c>
    </row>
    <row r="90" spans="1:15" hidden="1" outlineLevel="1" x14ac:dyDescent="0.35">
      <c r="A90" s="228"/>
      <c r="B90" s="255" t="s">
        <v>269</v>
      </c>
      <c r="C90" s="256">
        <v>0</v>
      </c>
      <c r="D90" s="257">
        <f>'Vue d''ensemble'!T30</f>
        <v>0</v>
      </c>
      <c r="E90" s="259"/>
      <c r="F90" s="260"/>
      <c r="G90" s="260"/>
      <c r="H90" s="260"/>
      <c r="I90" s="260"/>
      <c r="J90" s="260"/>
      <c r="K90" s="260"/>
      <c r="L90" s="261">
        <f>IFERROR(D90*0.2,"")</f>
        <v>0</v>
      </c>
      <c r="M90" s="621" t="str">
        <f>IF(SUM(E90:L90)='Vue d''ensemble'!T30,"correcte","ne correspond pas")</f>
        <v>correcte</v>
      </c>
      <c r="N90" s="258">
        <f>SUM(E90:L90)</f>
        <v>0</v>
      </c>
      <c r="O90" s="262" t="str">
        <f>IFERROR(SUM(E90:L90)/$D$89,"N/A")</f>
        <v>N/A</v>
      </c>
    </row>
    <row r="91" spans="1:15" hidden="1" outlineLevel="1" x14ac:dyDescent="0.35">
      <c r="A91" s="228"/>
      <c r="B91" s="263" t="s">
        <v>270</v>
      </c>
      <c r="C91" s="264">
        <v>0</v>
      </c>
      <c r="D91" s="631"/>
      <c r="E91" s="266"/>
      <c r="F91" s="267"/>
      <c r="G91" s="267"/>
      <c r="H91" s="267"/>
      <c r="I91" s="267"/>
      <c r="J91" s="267"/>
      <c r="K91" s="267"/>
      <c r="L91" s="268"/>
      <c r="M91" s="263"/>
      <c r="N91" s="265">
        <f>SUM(E91:L91)</f>
        <v>0</v>
      </c>
      <c r="O91" s="262" t="str">
        <f>IFERROR(SUM(E91:L91)/$D$89,"N/A")</f>
        <v>N/A</v>
      </c>
    </row>
    <row r="92" spans="1:15" hidden="1" outlineLevel="1" x14ac:dyDescent="0.35">
      <c r="A92" s="269"/>
      <c r="B92" s="244"/>
      <c r="C92" s="270"/>
      <c r="D92" s="271"/>
      <c r="E92" s="460">
        <f>SUM(E93:E99)</f>
        <v>0</v>
      </c>
      <c r="F92" s="460">
        <f t="shared" ref="F92:L92" si="70">SUM(F93:F99)</f>
        <v>0</v>
      </c>
      <c r="G92" s="460">
        <f t="shared" si="70"/>
        <v>0</v>
      </c>
      <c r="H92" s="460">
        <f t="shared" si="70"/>
        <v>0</v>
      </c>
      <c r="I92" s="460">
        <f t="shared" si="70"/>
        <v>0</v>
      </c>
      <c r="J92" s="460">
        <f t="shared" si="70"/>
        <v>0</v>
      </c>
      <c r="K92" s="460">
        <f t="shared" si="70"/>
        <v>0</v>
      </c>
      <c r="L92" s="460">
        <f t="shared" si="70"/>
        <v>0</v>
      </c>
      <c r="M92" s="274"/>
      <c r="N92" s="272"/>
      <c r="O92" s="262"/>
    </row>
    <row r="93" spans="1:15" hidden="1" outlineLevel="1" x14ac:dyDescent="0.35">
      <c r="A93" s="228"/>
      <c r="B93" s="461" t="s">
        <v>274</v>
      </c>
      <c r="C93" s="647"/>
      <c r="D93" s="257"/>
      <c r="E93" s="259"/>
      <c r="F93" s="260"/>
      <c r="G93" s="260"/>
      <c r="H93" s="260"/>
      <c r="I93" s="260"/>
      <c r="J93" s="260"/>
      <c r="K93" s="260"/>
      <c r="L93" s="261"/>
      <c r="M93" s="255"/>
      <c r="N93" s="255">
        <f t="shared" ref="N93:N99" si="71">SUM(E93:L93)</f>
        <v>0</v>
      </c>
      <c r="O93" s="262" t="str">
        <f t="shared" ref="O93:O99" si="72">IFERROR(SUM(E93:L93)/$D$89,"N/A")</f>
        <v>N/A</v>
      </c>
    </row>
    <row r="94" spans="1:15" hidden="1" outlineLevel="1" x14ac:dyDescent="0.35">
      <c r="A94" s="228"/>
      <c r="B94" s="462"/>
      <c r="C94" s="648"/>
      <c r="D94" s="628"/>
      <c r="E94" s="275"/>
      <c r="F94" s="276"/>
      <c r="G94" s="276"/>
      <c r="H94" s="276"/>
      <c r="I94" s="276"/>
      <c r="J94" s="276"/>
      <c r="K94" s="276"/>
      <c r="L94" s="277"/>
      <c r="M94" s="274"/>
      <c r="N94" s="274">
        <f t="shared" si="71"/>
        <v>0</v>
      </c>
      <c r="O94" s="262" t="str">
        <f t="shared" si="72"/>
        <v>N/A</v>
      </c>
    </row>
    <row r="95" spans="1:15" hidden="1" outlineLevel="1" x14ac:dyDescent="0.35">
      <c r="A95" s="228"/>
      <c r="B95" s="462"/>
      <c r="C95" s="648"/>
      <c r="D95" s="628"/>
      <c r="E95" s="275"/>
      <c r="F95" s="276"/>
      <c r="G95" s="276"/>
      <c r="H95" s="276"/>
      <c r="I95" s="276"/>
      <c r="J95" s="276"/>
      <c r="K95" s="276"/>
      <c r="L95" s="277"/>
      <c r="M95" s="274"/>
      <c r="N95" s="274">
        <f t="shared" si="71"/>
        <v>0</v>
      </c>
      <c r="O95" s="262" t="str">
        <f t="shared" si="72"/>
        <v>N/A</v>
      </c>
    </row>
    <row r="96" spans="1:15" hidden="1" outlineLevel="1" x14ac:dyDescent="0.35">
      <c r="A96" s="228"/>
      <c r="B96" s="462"/>
      <c r="C96" s="648"/>
      <c r="D96" s="628"/>
      <c r="E96" s="275"/>
      <c r="F96" s="276"/>
      <c r="G96" s="276"/>
      <c r="H96" s="276"/>
      <c r="I96" s="276"/>
      <c r="J96" s="276"/>
      <c r="K96" s="276"/>
      <c r="L96" s="277"/>
      <c r="M96" s="274"/>
      <c r="N96" s="274">
        <f t="shared" si="71"/>
        <v>0</v>
      </c>
      <c r="O96" s="262" t="str">
        <f t="shared" si="72"/>
        <v>N/A</v>
      </c>
    </row>
    <row r="97" spans="1:15" hidden="1" outlineLevel="1" x14ac:dyDescent="0.35">
      <c r="A97" s="228"/>
      <c r="B97" s="462"/>
      <c r="C97" s="648"/>
      <c r="D97" s="628"/>
      <c r="E97" s="275"/>
      <c r="F97" s="276"/>
      <c r="G97" s="276"/>
      <c r="H97" s="276"/>
      <c r="I97" s="276"/>
      <c r="J97" s="276"/>
      <c r="K97" s="276"/>
      <c r="L97" s="277"/>
      <c r="M97" s="274"/>
      <c r="N97" s="274">
        <f t="shared" si="71"/>
        <v>0</v>
      </c>
      <c r="O97" s="262" t="str">
        <f t="shared" si="72"/>
        <v>N/A</v>
      </c>
    </row>
    <row r="98" spans="1:15" hidden="1" outlineLevel="1" x14ac:dyDescent="0.35">
      <c r="A98" s="228"/>
      <c r="B98" s="462"/>
      <c r="C98" s="648"/>
      <c r="D98" s="629"/>
      <c r="E98" s="275"/>
      <c r="F98" s="276"/>
      <c r="G98" s="276"/>
      <c r="H98" s="276"/>
      <c r="I98" s="276"/>
      <c r="J98" s="276"/>
      <c r="K98" s="276"/>
      <c r="L98" s="277"/>
      <c r="M98" s="274"/>
      <c r="N98" s="274">
        <f t="shared" si="71"/>
        <v>0</v>
      </c>
      <c r="O98" s="262" t="str">
        <f t="shared" si="72"/>
        <v>N/A</v>
      </c>
    </row>
    <row r="99" spans="1:15" hidden="1" outlineLevel="1" x14ac:dyDescent="0.35">
      <c r="A99" s="230"/>
      <c r="B99" s="463"/>
      <c r="C99" s="649"/>
      <c r="D99" s="630"/>
      <c r="E99" s="266"/>
      <c r="F99" s="267"/>
      <c r="G99" s="267"/>
      <c r="H99" s="267"/>
      <c r="I99" s="267"/>
      <c r="J99" s="267"/>
      <c r="K99" s="267"/>
      <c r="L99" s="268"/>
      <c r="M99" s="263"/>
      <c r="N99" s="263">
        <f t="shared" si="71"/>
        <v>0</v>
      </c>
      <c r="O99" s="262" t="str">
        <f t="shared" si="72"/>
        <v>N/A</v>
      </c>
    </row>
    <row r="100" spans="1:15" hidden="1" outlineLevel="1" x14ac:dyDescent="0.35">
      <c r="A100" s="278" t="s">
        <v>381</v>
      </c>
      <c r="B100" s="279" t="s">
        <v>382</v>
      </c>
      <c r="C100" s="650"/>
      <c r="D100" s="280">
        <f>SUM(E100:L100)</f>
        <v>0</v>
      </c>
      <c r="E100" s="464">
        <f>E92*C100</f>
        <v>0</v>
      </c>
      <c r="F100" s="464">
        <f>(F92+E92)*C100</f>
        <v>0</v>
      </c>
      <c r="G100" s="464">
        <f>(G92+F92+E92)*C100</f>
        <v>0</v>
      </c>
      <c r="H100" s="464">
        <f>(H92+G92+F92+E92)*C100</f>
        <v>0</v>
      </c>
      <c r="I100" s="464">
        <f>(I92+H92+G92+F92+E92)*C100</f>
        <v>0</v>
      </c>
      <c r="J100" s="464">
        <f>(J92+I92+H92+G92+F92+E92)*C100</f>
        <v>0</v>
      </c>
      <c r="K100" s="464">
        <f>(K92+J92+I92+H92+G92+F92+E92)*C100</f>
        <v>0</v>
      </c>
      <c r="L100" s="465">
        <f>(L92+K92+J92+I92+H92+G92+F92+E92)*C100</f>
        <v>0</v>
      </c>
      <c r="M100" s="627"/>
      <c r="N100" s="273"/>
      <c r="O100" s="273"/>
    </row>
    <row r="101" spans="1:15" hidden="1" outlineLevel="1" x14ac:dyDescent="0.35">
      <c r="A101" s="281" t="s">
        <v>383</v>
      </c>
      <c r="B101" s="282" t="s">
        <v>384</v>
      </c>
      <c r="C101" s="651"/>
      <c r="D101" s="283">
        <f>SUM(E101:L101)</f>
        <v>0</v>
      </c>
      <c r="E101" s="466">
        <f>E89*C101</f>
        <v>0</v>
      </c>
      <c r="F101" s="466">
        <f>(F89+E89)*C101</f>
        <v>0</v>
      </c>
      <c r="G101" s="466">
        <f>(G89+F89+E89)*C101</f>
        <v>0</v>
      </c>
      <c r="H101" s="466">
        <f>(H89+G89+F89+E89)*C101</f>
        <v>0</v>
      </c>
      <c r="I101" s="466">
        <f>(I89+H89+G89+F89+E89)*C101</f>
        <v>0</v>
      </c>
      <c r="J101" s="466">
        <f>(J89+I89+H89+G89+F89+E89)*C101</f>
        <v>0</v>
      </c>
      <c r="K101" s="466">
        <f>(K89+J89+I89+H89+G89+F89+E89)*C101</f>
        <v>0</v>
      </c>
      <c r="L101" s="467">
        <f>(L89+K89+J89+I89+H89+G89+F89+E89)*C101</f>
        <v>0</v>
      </c>
      <c r="M101" s="627"/>
      <c r="N101" s="273"/>
      <c r="O101" s="273"/>
    </row>
    <row r="102" spans="1:15" hidden="1" outlineLevel="1" x14ac:dyDescent="0.35">
      <c r="A102" s="566" t="s">
        <v>448</v>
      </c>
      <c r="B102" s="567"/>
      <c r="C102" s="568"/>
      <c r="D102" s="569">
        <f>SUM(E102:L102)</f>
        <v>0</v>
      </c>
      <c r="E102" s="287">
        <f>SUMPRODUCT(E93:E99,C93:C99)</f>
        <v>0</v>
      </c>
      <c r="F102" s="287">
        <f>SUM(E93:F93)*C93+SUM(E94:F94)*C94+SUM(E95:F95)*C95+SUM(E96:F96)*C96+SUM(E97:F97)*C97+SUM(E98:F98)*C98+SUM(E99:F99)*C99</f>
        <v>0</v>
      </c>
      <c r="G102" s="287">
        <f>SUM(E93:G93)*C93+SUM(E94:G94)*C94+SUM(E95:G95)*C95+SUM(E96:G96)*C96+SUM(E97:G97)*C97+SUM(E98:G98)*C98+SUM(E99:G99)*C99</f>
        <v>0</v>
      </c>
      <c r="H102" s="287">
        <f>SUM(E93:H93)*C93+SUM(E94:H94)*C94+SUM(E95:H95)*C95+SUM(E96:H96)*C96+SUM(E97:H97)*C97+SUM(E98:H98)*C98+SUM(E99:H99)*C99</f>
        <v>0</v>
      </c>
      <c r="I102" s="287">
        <f>SUM(E93:I93)*C93+SUM(E94:I94)*C94+SUM(E95:I95)*C95+SUM(E96:I96)*C96+SUM(E97:I97)*C97+SUM(E98:I98)*C98+SUM(E99:I99)*C99</f>
        <v>0</v>
      </c>
      <c r="J102" s="287">
        <f>SUM(E93:J93)*C93+SUM(E94:J94)*C94+SUM(E95:J95)*C95+SUM(E96:J96)*C96+SUM(E97:J97)*C97+SUM(E98:J98)*C98+SUM(E99:J99)*C99</f>
        <v>0</v>
      </c>
      <c r="K102" s="287">
        <f>SUM(E93:K93)*C93+SUM(E94:K94)*C94+SUM(E95:K95)*C95+SUM(E96:K96)*C96+SUM(E97:K97)*C97+SUM(E98:K98)*C98+SUM(E99:K99)*C99</f>
        <v>0</v>
      </c>
      <c r="L102" s="565">
        <f>SUM(E93:L93)*C93+SUM(E94:L94)*C94+SUM(E95:L95)*C95+SUM(E96:L96)*C96+SUM(E97:L97)*C97+SUM(E98:L98)*C98+SUM(E99:L99)*C99</f>
        <v>0</v>
      </c>
      <c r="M102" s="627"/>
      <c r="N102" s="273"/>
      <c r="O102" s="273"/>
    </row>
    <row r="103" spans="1:15" hidden="1" outlineLevel="1" x14ac:dyDescent="0.35">
      <c r="A103" s="228"/>
      <c r="B103" s="244"/>
      <c r="C103" s="284"/>
      <c r="D103" s="285"/>
      <c r="F103" s="286"/>
      <c r="G103" s="286"/>
      <c r="H103" s="286"/>
      <c r="I103" s="286"/>
      <c r="J103" s="286"/>
      <c r="K103" s="286"/>
      <c r="L103" s="287"/>
      <c r="M103" s="286"/>
      <c r="N103" s="273"/>
      <c r="O103" s="273"/>
    </row>
    <row r="104" spans="1:15" hidden="1" outlineLevel="1" x14ac:dyDescent="0.35">
      <c r="A104" s="251" t="s">
        <v>310</v>
      </c>
      <c r="B104" s="252"/>
      <c r="C104" s="252"/>
      <c r="D104" s="253">
        <f>'Vue d''ensemble'!B31</f>
        <v>0</v>
      </c>
      <c r="E104" s="459">
        <f>SUM(E105:E106)+E107</f>
        <v>0</v>
      </c>
      <c r="F104" s="459">
        <f t="shared" ref="F104" si="73">SUM(F105:F106)+F107</f>
        <v>0</v>
      </c>
      <c r="G104" s="459">
        <f t="shared" ref="G104" si="74">SUM(G105:G106)+G107</f>
        <v>0</v>
      </c>
      <c r="H104" s="459">
        <f t="shared" ref="H104:L104" si="75">SUM(H105:H106)+H107</f>
        <v>0</v>
      </c>
      <c r="I104" s="459">
        <f t="shared" si="75"/>
        <v>0</v>
      </c>
      <c r="J104" s="459">
        <f t="shared" si="75"/>
        <v>0</v>
      </c>
      <c r="K104" s="459">
        <f t="shared" si="75"/>
        <v>0</v>
      </c>
      <c r="L104" s="459">
        <f t="shared" si="75"/>
        <v>0</v>
      </c>
      <c r="M104" s="626"/>
      <c r="N104" s="288">
        <f>SUM(E104:L104)</f>
        <v>0</v>
      </c>
      <c r="O104" s="254">
        <f>SUM(O105:O114)</f>
        <v>0</v>
      </c>
    </row>
    <row r="105" spans="1:15" hidden="1" outlineLevel="1" x14ac:dyDescent="0.35">
      <c r="A105" s="228"/>
      <c r="B105" s="255" t="s">
        <v>269</v>
      </c>
      <c r="C105" s="256">
        <v>0</v>
      </c>
      <c r="D105" s="257">
        <f>'Vue d''ensemble'!T31</f>
        <v>0</v>
      </c>
      <c r="E105" s="259"/>
      <c r="F105" s="260"/>
      <c r="G105" s="260"/>
      <c r="H105" s="260"/>
      <c r="I105" s="260"/>
      <c r="J105" s="260"/>
      <c r="K105" s="260"/>
      <c r="L105" s="261">
        <f>IFERROR(D105*0.2,"")</f>
        <v>0</v>
      </c>
      <c r="M105" s="621" t="str">
        <f>IF(SUM(E105:L105)='Vue d''ensemble'!T31,"correcte","ne correspond pas")</f>
        <v>correcte</v>
      </c>
      <c r="N105" s="258">
        <f>SUM(E105:L105)</f>
        <v>0</v>
      </c>
      <c r="O105" s="262" t="str">
        <f>IFERROR(SUM(E105:L105)/$D$104,"N/A")</f>
        <v>N/A</v>
      </c>
    </row>
    <row r="106" spans="1:15" hidden="1" outlineLevel="1" x14ac:dyDescent="0.35">
      <c r="A106" s="228"/>
      <c r="B106" s="263" t="s">
        <v>270</v>
      </c>
      <c r="C106" s="264">
        <v>0</v>
      </c>
      <c r="D106" s="631"/>
      <c r="E106" s="266"/>
      <c r="F106" s="267"/>
      <c r="G106" s="267"/>
      <c r="H106" s="267"/>
      <c r="I106" s="267"/>
      <c r="J106" s="267"/>
      <c r="K106" s="267"/>
      <c r="L106" s="268"/>
      <c r="M106" s="263"/>
      <c r="N106" s="265">
        <f>SUM(E106:L106)</f>
        <v>0</v>
      </c>
      <c r="O106" s="262" t="str">
        <f>IFERROR(SUM(E106:L106)/$D$104,"N/A")</f>
        <v>N/A</v>
      </c>
    </row>
    <row r="107" spans="1:15" hidden="1" outlineLevel="1" x14ac:dyDescent="0.35">
      <c r="A107" s="269"/>
      <c r="B107" s="244"/>
      <c r="C107" s="270"/>
      <c r="D107" s="271"/>
      <c r="E107" s="460">
        <f>SUM(E108:E114)</f>
        <v>0</v>
      </c>
      <c r="F107" s="460">
        <f t="shared" ref="F107:L107" si="76">SUM(F108:F114)</f>
        <v>0</v>
      </c>
      <c r="G107" s="460">
        <f t="shared" si="76"/>
        <v>0</v>
      </c>
      <c r="H107" s="460">
        <f t="shared" si="76"/>
        <v>0</v>
      </c>
      <c r="I107" s="460">
        <f t="shared" si="76"/>
        <v>0</v>
      </c>
      <c r="J107" s="460">
        <f t="shared" si="76"/>
        <v>0</v>
      </c>
      <c r="K107" s="460">
        <f t="shared" si="76"/>
        <v>0</v>
      </c>
      <c r="L107" s="460">
        <f t="shared" si="76"/>
        <v>0</v>
      </c>
      <c r="M107" s="274"/>
      <c r="N107" s="272"/>
      <c r="O107" s="262"/>
    </row>
    <row r="108" spans="1:15" hidden="1" outlineLevel="1" x14ac:dyDescent="0.35">
      <c r="A108" s="228"/>
      <c r="B108" s="461" t="s">
        <v>274</v>
      </c>
      <c r="C108" s="647"/>
      <c r="D108" s="257"/>
      <c r="E108" s="259"/>
      <c r="F108" s="260"/>
      <c r="G108" s="260"/>
      <c r="H108" s="260"/>
      <c r="I108" s="260"/>
      <c r="J108" s="260"/>
      <c r="K108" s="260"/>
      <c r="L108" s="261"/>
      <c r="M108" s="255"/>
      <c r="N108" s="255">
        <f t="shared" ref="N108:N114" si="77">SUM(E108:L108)</f>
        <v>0</v>
      </c>
      <c r="O108" s="262" t="str">
        <f t="shared" ref="O108:O114" si="78">IFERROR(SUM(E108:L108)/$D$104,"N/A")</f>
        <v>N/A</v>
      </c>
    </row>
    <row r="109" spans="1:15" hidden="1" outlineLevel="1" x14ac:dyDescent="0.35">
      <c r="A109" s="228"/>
      <c r="B109" s="462" t="s">
        <v>274</v>
      </c>
      <c r="C109" s="648"/>
      <c r="D109" s="628"/>
      <c r="E109" s="275"/>
      <c r="F109" s="276"/>
      <c r="G109" s="276"/>
      <c r="H109" s="276"/>
      <c r="I109" s="276"/>
      <c r="J109" s="276"/>
      <c r="K109" s="276"/>
      <c r="L109" s="277"/>
      <c r="M109" s="274"/>
      <c r="N109" s="274">
        <f t="shared" si="77"/>
        <v>0</v>
      </c>
      <c r="O109" s="262" t="str">
        <f t="shared" si="78"/>
        <v>N/A</v>
      </c>
    </row>
    <row r="110" spans="1:15" hidden="1" outlineLevel="1" x14ac:dyDescent="0.35">
      <c r="A110" s="228"/>
      <c r="B110" s="462"/>
      <c r="C110" s="648"/>
      <c r="D110" s="628"/>
      <c r="E110" s="275"/>
      <c r="F110" s="276"/>
      <c r="G110" s="276"/>
      <c r="H110" s="276"/>
      <c r="I110" s="276"/>
      <c r="J110" s="276"/>
      <c r="K110" s="276"/>
      <c r="L110" s="277"/>
      <c r="M110" s="274"/>
      <c r="N110" s="274">
        <f t="shared" si="77"/>
        <v>0</v>
      </c>
      <c r="O110" s="262" t="str">
        <f t="shared" si="78"/>
        <v>N/A</v>
      </c>
    </row>
    <row r="111" spans="1:15" hidden="1" outlineLevel="1" x14ac:dyDescent="0.35">
      <c r="A111" s="228"/>
      <c r="B111" s="462"/>
      <c r="C111" s="648"/>
      <c r="D111" s="628"/>
      <c r="E111" s="275"/>
      <c r="F111" s="276"/>
      <c r="G111" s="276"/>
      <c r="H111" s="276"/>
      <c r="I111" s="276"/>
      <c r="J111" s="276"/>
      <c r="K111" s="276"/>
      <c r="L111" s="277"/>
      <c r="M111" s="274"/>
      <c r="N111" s="274">
        <f t="shared" si="77"/>
        <v>0</v>
      </c>
      <c r="O111" s="262" t="str">
        <f t="shared" si="78"/>
        <v>N/A</v>
      </c>
    </row>
    <row r="112" spans="1:15" hidden="1" outlineLevel="1" x14ac:dyDescent="0.35">
      <c r="A112" s="228"/>
      <c r="B112" s="462"/>
      <c r="C112" s="648"/>
      <c r="D112" s="628"/>
      <c r="E112" s="275"/>
      <c r="F112" s="276"/>
      <c r="G112" s="276"/>
      <c r="H112" s="276"/>
      <c r="I112" s="276"/>
      <c r="J112" s="276"/>
      <c r="K112" s="276"/>
      <c r="L112" s="277"/>
      <c r="M112" s="274"/>
      <c r="N112" s="274">
        <f t="shared" si="77"/>
        <v>0</v>
      </c>
      <c r="O112" s="262" t="str">
        <f t="shared" si="78"/>
        <v>N/A</v>
      </c>
    </row>
    <row r="113" spans="1:15" hidden="1" outlineLevel="1" x14ac:dyDescent="0.35">
      <c r="A113" s="228"/>
      <c r="B113" s="462"/>
      <c r="C113" s="648"/>
      <c r="D113" s="629"/>
      <c r="E113" s="275"/>
      <c r="F113" s="276"/>
      <c r="G113" s="276"/>
      <c r="H113" s="276"/>
      <c r="I113" s="276"/>
      <c r="J113" s="276"/>
      <c r="K113" s="276"/>
      <c r="L113" s="277"/>
      <c r="M113" s="274"/>
      <c r="N113" s="274">
        <f t="shared" si="77"/>
        <v>0</v>
      </c>
      <c r="O113" s="262" t="str">
        <f t="shared" si="78"/>
        <v>N/A</v>
      </c>
    </row>
    <row r="114" spans="1:15" hidden="1" outlineLevel="1" x14ac:dyDescent="0.35">
      <c r="A114" s="230"/>
      <c r="B114" s="463"/>
      <c r="C114" s="649"/>
      <c r="D114" s="630"/>
      <c r="E114" s="266"/>
      <c r="F114" s="267"/>
      <c r="G114" s="267"/>
      <c r="H114" s="267"/>
      <c r="I114" s="267"/>
      <c r="J114" s="267"/>
      <c r="K114" s="267"/>
      <c r="L114" s="268"/>
      <c r="M114" s="263"/>
      <c r="N114" s="263">
        <f t="shared" si="77"/>
        <v>0</v>
      </c>
      <c r="O114" s="262" t="str">
        <f t="shared" si="78"/>
        <v>N/A</v>
      </c>
    </row>
    <row r="115" spans="1:15" hidden="1" outlineLevel="1" x14ac:dyDescent="0.35">
      <c r="A115" s="278" t="s">
        <v>381</v>
      </c>
      <c r="B115" s="279" t="s">
        <v>382</v>
      </c>
      <c r="C115" s="650"/>
      <c r="D115" s="280">
        <f>SUM(E115:L115)</f>
        <v>0</v>
      </c>
      <c r="E115" s="464">
        <f>E107*C115</f>
        <v>0</v>
      </c>
      <c r="F115" s="464">
        <f>(F107+E107)*C115</f>
        <v>0</v>
      </c>
      <c r="G115" s="464">
        <f>(G107+F107+E107)*C115</f>
        <v>0</v>
      </c>
      <c r="H115" s="464">
        <f>(H107+G107+F107+E107)*C115</f>
        <v>0</v>
      </c>
      <c r="I115" s="464">
        <f>(I107+H107+G107+F107+E107)*C115</f>
        <v>0</v>
      </c>
      <c r="J115" s="464">
        <f>(J107+I107+H107+G107+F107+E107)*C115</f>
        <v>0</v>
      </c>
      <c r="K115" s="464">
        <f>(K107+J107+I107+H107+G107+F107+E107)*C115</f>
        <v>0</v>
      </c>
      <c r="L115" s="465">
        <f>(L107+K107+J107+I107+H107+G107+F107+E107)*C115</f>
        <v>0</v>
      </c>
      <c r="M115" s="627"/>
      <c r="N115" s="273"/>
      <c r="O115" s="273"/>
    </row>
    <row r="116" spans="1:15" hidden="1" outlineLevel="1" x14ac:dyDescent="0.35">
      <c r="A116" s="281" t="s">
        <v>383</v>
      </c>
      <c r="B116" s="282" t="s">
        <v>384</v>
      </c>
      <c r="C116" s="651"/>
      <c r="D116" s="283">
        <f>SUM(E116:L116)</f>
        <v>0</v>
      </c>
      <c r="E116" s="466">
        <f>E104*C116</f>
        <v>0</v>
      </c>
      <c r="F116" s="466">
        <f>(F104+E104)*C116</f>
        <v>0</v>
      </c>
      <c r="G116" s="466">
        <f>(G104+F104+E104)*C116</f>
        <v>0</v>
      </c>
      <c r="H116" s="466">
        <f>(H104+G104+F104+E104)*C116</f>
        <v>0</v>
      </c>
      <c r="I116" s="466">
        <f>(I104+H104+G104+F104+E104)*C116</f>
        <v>0</v>
      </c>
      <c r="J116" s="466">
        <f>(J104+I104+H104+G104+F104+E104)*C116</f>
        <v>0</v>
      </c>
      <c r="K116" s="466">
        <f>(K104+J104+I104+H104+G104+F104+E104)*C116</f>
        <v>0</v>
      </c>
      <c r="L116" s="467">
        <f>(L104+K104+J104+I104+H104+G104+F104+E104)*C116</f>
        <v>0</v>
      </c>
      <c r="M116" s="627"/>
      <c r="N116" s="273"/>
      <c r="O116" s="273"/>
    </row>
    <row r="117" spans="1:15" hidden="1" outlineLevel="1" x14ac:dyDescent="0.35">
      <c r="A117" s="566" t="s">
        <v>448</v>
      </c>
      <c r="B117" s="567"/>
      <c r="C117" s="568"/>
      <c r="D117" s="569">
        <f>SUM(E117:L117)</f>
        <v>0</v>
      </c>
      <c r="E117" s="287">
        <f>SUMPRODUCT(E108:E114,C108:C114)</f>
        <v>0</v>
      </c>
      <c r="F117" s="287">
        <f>SUM(E108:F108)*C108+SUM(E109:F109)*C109+SUM(E110:F110)*C110+SUM(E111:F111)*C111+SUM(E112:F112)*C112+SUM(E113:F113)*C113+SUM(E114:F114)*C114</f>
        <v>0</v>
      </c>
      <c r="G117" s="287">
        <f>SUM(E108:G108)*C108+SUM(E109:G109)*C109+SUM(E110:G110)*C110+SUM(E111:G111)*C111+SUM(E112:G112)*C112+SUM(E113:G113)*C113+SUM(E114:G114)*C114</f>
        <v>0</v>
      </c>
      <c r="H117" s="287">
        <f>SUM(E108:H108)*C108+SUM(E109:H109)*C109+SUM(E110:H110)*C110+SUM(E111:H111)*C111+SUM(E112:H112)*C112+SUM(E113:H113)*C113+SUM(E114:H114)*C114</f>
        <v>0</v>
      </c>
      <c r="I117" s="287">
        <f>SUM(E108:I108)*C108+SUM(E109:I109)*C109+SUM(E110:I110)*C110+SUM(E111:I111)*C111+SUM(E112:I112)*C112+SUM(E113:I113)*C113+SUM(E114:I114)*C114</f>
        <v>0</v>
      </c>
      <c r="J117" s="287">
        <f>SUM(E108:J108)*C108+SUM(E109:J109)*C109+SUM(E110:J110)*C110+SUM(E111:J111)*C111+SUM(E112:J112)*C112+SUM(E113:J113)*C113+SUM(E114:J114)*C114</f>
        <v>0</v>
      </c>
      <c r="K117" s="287">
        <f>SUM(E108:K108)*C108+SUM(E109:K109)*C109+SUM(E110:K110)*C110+SUM(E111:K111)*C111+SUM(E112:K112)*C112+SUM(E113:K113)*C113+SUM(E114:K114)*C114</f>
        <v>0</v>
      </c>
      <c r="L117" s="565">
        <f>SUM(E108:L108)*C108+SUM(E109:L109)*C109+SUM(E110:L110)*C110+SUM(E111:L111)*C111+SUM(E112:L112)*C112+SUM(E113:L113)*C113+SUM(E114:L114)*C114</f>
        <v>0</v>
      </c>
      <c r="M117" s="627"/>
      <c r="N117" s="273"/>
      <c r="O117" s="273"/>
    </row>
    <row r="118" spans="1:15" hidden="1" outlineLevel="1" x14ac:dyDescent="0.35">
      <c r="A118" s="228"/>
      <c r="B118" s="244"/>
      <c r="C118" s="284"/>
      <c r="D118" s="285"/>
      <c r="F118" s="286"/>
      <c r="G118" s="286"/>
      <c r="H118" s="286"/>
      <c r="I118" s="286"/>
      <c r="J118" s="286"/>
      <c r="K118" s="286"/>
      <c r="L118" s="570"/>
      <c r="M118" s="286"/>
      <c r="N118" s="273"/>
      <c r="O118" s="273"/>
    </row>
    <row r="119" spans="1:15" hidden="1" outlineLevel="1" x14ac:dyDescent="0.35">
      <c r="A119" s="251" t="s">
        <v>311</v>
      </c>
      <c r="B119" s="252"/>
      <c r="C119" s="252"/>
      <c r="D119" s="253">
        <f>'Vue d''ensemble'!B32</f>
        <v>0</v>
      </c>
      <c r="E119" s="459">
        <f>SUM(E120:E121)+E122</f>
        <v>0</v>
      </c>
      <c r="F119" s="459">
        <f t="shared" ref="F119" si="79">SUM(F120:F121)+F122</f>
        <v>0</v>
      </c>
      <c r="G119" s="459">
        <f t="shared" ref="G119" si="80">SUM(G120:G121)+G122</f>
        <v>0</v>
      </c>
      <c r="H119" s="459">
        <f t="shared" ref="H119:L119" si="81">SUM(H120:H121)+H122</f>
        <v>0</v>
      </c>
      <c r="I119" s="459">
        <f t="shared" si="81"/>
        <v>0</v>
      </c>
      <c r="J119" s="459">
        <f t="shared" si="81"/>
        <v>0</v>
      </c>
      <c r="K119" s="459">
        <f t="shared" si="81"/>
        <v>0</v>
      </c>
      <c r="L119" s="459">
        <f t="shared" si="81"/>
        <v>0</v>
      </c>
      <c r="M119" s="626"/>
      <c r="N119" s="288">
        <f>SUM(E119:L119)</f>
        <v>0</v>
      </c>
      <c r="O119" s="254">
        <f>SUM(O120:O129)</f>
        <v>0</v>
      </c>
    </row>
    <row r="120" spans="1:15" hidden="1" outlineLevel="1" x14ac:dyDescent="0.35">
      <c r="A120" s="228"/>
      <c r="B120" s="255" t="s">
        <v>269</v>
      </c>
      <c r="C120" s="256">
        <v>0</v>
      </c>
      <c r="D120" s="257">
        <f>'Vue d''ensemble'!T32</f>
        <v>0</v>
      </c>
      <c r="E120" s="259"/>
      <c r="F120" s="260"/>
      <c r="G120" s="260"/>
      <c r="H120" s="260"/>
      <c r="I120" s="260"/>
      <c r="J120" s="260"/>
      <c r="K120" s="260"/>
      <c r="L120" s="261">
        <f>IFERROR(D120*0.2,"")</f>
        <v>0</v>
      </c>
      <c r="M120" s="621" t="str">
        <f>IF(SUM(E120:L120)='Vue d''ensemble'!T32,"correcte","ne correspond pas")</f>
        <v>correcte</v>
      </c>
      <c r="N120" s="258">
        <f>SUM(E120:L120)</f>
        <v>0</v>
      </c>
      <c r="O120" s="262" t="str">
        <f>IFERROR(SUM(E120:L120)/$D$119,"N/A")</f>
        <v>N/A</v>
      </c>
    </row>
    <row r="121" spans="1:15" hidden="1" outlineLevel="1" x14ac:dyDescent="0.35">
      <c r="A121" s="228"/>
      <c r="B121" s="263" t="s">
        <v>270</v>
      </c>
      <c r="C121" s="264">
        <v>0</v>
      </c>
      <c r="D121" s="631"/>
      <c r="E121" s="266"/>
      <c r="F121" s="267"/>
      <c r="G121" s="267"/>
      <c r="H121" s="267"/>
      <c r="I121" s="267"/>
      <c r="J121" s="267"/>
      <c r="K121" s="267"/>
      <c r="L121" s="268"/>
      <c r="M121" s="263"/>
      <c r="N121" s="265">
        <f>SUM(E121:L121)</f>
        <v>0</v>
      </c>
      <c r="O121" s="262" t="str">
        <f>IFERROR(SUM(E121:L121)/$D$119,"N/A")</f>
        <v>N/A</v>
      </c>
    </row>
    <row r="122" spans="1:15" hidden="1" outlineLevel="1" x14ac:dyDescent="0.35">
      <c r="A122" s="269"/>
      <c r="B122" s="244"/>
      <c r="C122" s="270"/>
      <c r="D122" s="271"/>
      <c r="E122" s="460">
        <f>SUM(E123:E129)</f>
        <v>0</v>
      </c>
      <c r="F122" s="460">
        <f t="shared" ref="F122:L122" si="82">SUM(F123:F129)</f>
        <v>0</v>
      </c>
      <c r="G122" s="460">
        <f t="shared" si="82"/>
        <v>0</v>
      </c>
      <c r="H122" s="460">
        <f t="shared" si="82"/>
        <v>0</v>
      </c>
      <c r="I122" s="460">
        <f t="shared" si="82"/>
        <v>0</v>
      </c>
      <c r="J122" s="460">
        <f t="shared" si="82"/>
        <v>0</v>
      </c>
      <c r="K122" s="460">
        <f t="shared" si="82"/>
        <v>0</v>
      </c>
      <c r="L122" s="460">
        <f t="shared" si="82"/>
        <v>0</v>
      </c>
      <c r="M122" s="274"/>
      <c r="N122" s="272"/>
      <c r="O122" s="262"/>
    </row>
    <row r="123" spans="1:15" hidden="1" outlineLevel="1" x14ac:dyDescent="0.35">
      <c r="A123" s="228"/>
      <c r="B123" s="461" t="s">
        <v>271</v>
      </c>
      <c r="C123" s="647"/>
      <c r="D123" s="257"/>
      <c r="E123" s="259"/>
      <c r="F123" s="260"/>
      <c r="G123" s="260"/>
      <c r="H123" s="260"/>
      <c r="I123" s="260"/>
      <c r="J123" s="260"/>
      <c r="K123" s="260"/>
      <c r="L123" s="261"/>
      <c r="M123" s="255"/>
      <c r="N123" s="255">
        <f t="shared" ref="N123:N129" si="83">SUM(E123:L123)</f>
        <v>0</v>
      </c>
      <c r="O123" s="262" t="str">
        <f t="shared" ref="O123:O129" si="84">IFERROR(SUM(E123:L123)/$D$119,"N/A")</f>
        <v>N/A</v>
      </c>
    </row>
    <row r="124" spans="1:15" hidden="1" outlineLevel="1" x14ac:dyDescent="0.35">
      <c r="A124" s="228"/>
      <c r="B124" s="462" t="s">
        <v>272</v>
      </c>
      <c r="C124" s="648"/>
      <c r="D124" s="628"/>
      <c r="E124" s="275"/>
      <c r="F124" s="276"/>
      <c r="G124" s="276"/>
      <c r="H124" s="276"/>
      <c r="I124" s="276"/>
      <c r="J124" s="276"/>
      <c r="K124" s="276"/>
      <c r="L124" s="277"/>
      <c r="M124" s="274"/>
      <c r="N124" s="274">
        <f t="shared" si="83"/>
        <v>0</v>
      </c>
      <c r="O124" s="262" t="str">
        <f t="shared" si="84"/>
        <v>N/A</v>
      </c>
    </row>
    <row r="125" spans="1:15" hidden="1" outlineLevel="1" x14ac:dyDescent="0.35">
      <c r="A125" s="228"/>
      <c r="B125" s="462" t="s">
        <v>271</v>
      </c>
      <c r="C125" s="648"/>
      <c r="D125" s="628"/>
      <c r="E125" s="275"/>
      <c r="F125" s="276"/>
      <c r="G125" s="276"/>
      <c r="H125" s="276"/>
      <c r="I125" s="276"/>
      <c r="J125" s="276"/>
      <c r="K125" s="276"/>
      <c r="L125" s="277"/>
      <c r="M125" s="274"/>
      <c r="N125" s="274">
        <f t="shared" si="83"/>
        <v>0</v>
      </c>
      <c r="O125" s="262" t="str">
        <f t="shared" si="84"/>
        <v>N/A</v>
      </c>
    </row>
    <row r="126" spans="1:15" hidden="1" outlineLevel="1" x14ac:dyDescent="0.35">
      <c r="A126" s="228"/>
      <c r="B126" s="462"/>
      <c r="C126" s="648"/>
      <c r="D126" s="628"/>
      <c r="E126" s="275"/>
      <c r="F126" s="276"/>
      <c r="G126" s="276"/>
      <c r="H126" s="276"/>
      <c r="I126" s="276"/>
      <c r="J126" s="276"/>
      <c r="K126" s="276"/>
      <c r="L126" s="277"/>
      <c r="M126" s="274"/>
      <c r="N126" s="274">
        <f t="shared" si="83"/>
        <v>0</v>
      </c>
      <c r="O126" s="262" t="str">
        <f t="shared" si="84"/>
        <v>N/A</v>
      </c>
    </row>
    <row r="127" spans="1:15" hidden="1" outlineLevel="1" x14ac:dyDescent="0.35">
      <c r="A127" s="228"/>
      <c r="B127" s="462"/>
      <c r="C127" s="648"/>
      <c r="D127" s="628"/>
      <c r="E127" s="275"/>
      <c r="F127" s="276"/>
      <c r="G127" s="276"/>
      <c r="H127" s="276"/>
      <c r="I127" s="276"/>
      <c r="J127" s="276"/>
      <c r="K127" s="276"/>
      <c r="L127" s="277"/>
      <c r="M127" s="274"/>
      <c r="N127" s="274">
        <f t="shared" si="83"/>
        <v>0</v>
      </c>
      <c r="O127" s="262" t="str">
        <f t="shared" si="84"/>
        <v>N/A</v>
      </c>
    </row>
    <row r="128" spans="1:15" hidden="1" outlineLevel="1" x14ac:dyDescent="0.35">
      <c r="A128" s="228"/>
      <c r="B128" s="462"/>
      <c r="C128" s="648"/>
      <c r="D128" s="629"/>
      <c r="E128" s="275"/>
      <c r="F128" s="276"/>
      <c r="G128" s="276"/>
      <c r="H128" s="276"/>
      <c r="I128" s="276"/>
      <c r="J128" s="276"/>
      <c r="K128" s="276"/>
      <c r="L128" s="277"/>
      <c r="M128" s="274"/>
      <c r="N128" s="274">
        <f t="shared" si="83"/>
        <v>0</v>
      </c>
      <c r="O128" s="262" t="str">
        <f t="shared" si="84"/>
        <v>N/A</v>
      </c>
    </row>
    <row r="129" spans="1:15" hidden="1" outlineLevel="1" x14ac:dyDescent="0.35">
      <c r="A129" s="230"/>
      <c r="B129" s="463"/>
      <c r="C129" s="649"/>
      <c r="D129" s="630"/>
      <c r="E129" s="266"/>
      <c r="F129" s="267"/>
      <c r="G129" s="267"/>
      <c r="H129" s="267"/>
      <c r="I129" s="267"/>
      <c r="J129" s="267"/>
      <c r="K129" s="267"/>
      <c r="L129" s="268"/>
      <c r="M129" s="263"/>
      <c r="N129" s="263">
        <f t="shared" si="83"/>
        <v>0</v>
      </c>
      <c r="O129" s="262" t="str">
        <f t="shared" si="84"/>
        <v>N/A</v>
      </c>
    </row>
    <row r="130" spans="1:15" hidden="1" outlineLevel="1" x14ac:dyDescent="0.35">
      <c r="A130" s="278" t="s">
        <v>381</v>
      </c>
      <c r="B130" s="279" t="s">
        <v>382</v>
      </c>
      <c r="C130" s="650"/>
      <c r="D130" s="280">
        <f>SUM(E130:L130)</f>
        <v>0</v>
      </c>
      <c r="E130" s="464">
        <f>E122*C130</f>
        <v>0</v>
      </c>
      <c r="F130" s="464">
        <f>(F122+E122)*C130</f>
        <v>0</v>
      </c>
      <c r="G130" s="464">
        <f>(G122+F122+E122)*C130</f>
        <v>0</v>
      </c>
      <c r="H130" s="464">
        <f>(H122+G122+F122+E122)*C130</f>
        <v>0</v>
      </c>
      <c r="I130" s="464">
        <f>(I122+H122+G122+F122+E122)*C130</f>
        <v>0</v>
      </c>
      <c r="J130" s="464">
        <f>(J122+I122+H122+G122+F122+E122)*C130</f>
        <v>0</v>
      </c>
      <c r="K130" s="464">
        <f>(K122+J122+I122+H122+G122+F122+E122)*C130</f>
        <v>0</v>
      </c>
      <c r="L130" s="465">
        <f>(L122+K122+J122+I122+H122+G122+F122+E122)*C130</f>
        <v>0</v>
      </c>
      <c r="M130" s="627"/>
      <c r="N130" s="273"/>
      <c r="O130" s="273"/>
    </row>
    <row r="131" spans="1:15" hidden="1" outlineLevel="1" x14ac:dyDescent="0.35">
      <c r="A131" s="281" t="s">
        <v>383</v>
      </c>
      <c r="B131" s="282" t="s">
        <v>384</v>
      </c>
      <c r="C131" s="651"/>
      <c r="D131" s="283">
        <f>SUM(E131:L131)</f>
        <v>0</v>
      </c>
      <c r="E131" s="466">
        <f>E119*C131</f>
        <v>0</v>
      </c>
      <c r="F131" s="466">
        <f>(F119+E119)*C131</f>
        <v>0</v>
      </c>
      <c r="G131" s="466">
        <f>(G119+F119+E119)*C131</f>
        <v>0</v>
      </c>
      <c r="H131" s="466">
        <f>(H119+G119+F119+E119)*C131</f>
        <v>0</v>
      </c>
      <c r="I131" s="466">
        <f>(I119+H119+G119+F119+E119)*C131</f>
        <v>0</v>
      </c>
      <c r="J131" s="466">
        <f>(J119+I119+H119+G119+F119+E119)*C131</f>
        <v>0</v>
      </c>
      <c r="K131" s="466">
        <f>(K119+J119+I119+H119+G119+F119+E119)*C131</f>
        <v>0</v>
      </c>
      <c r="L131" s="467">
        <f>(L119+K119+J119+I119+H119+G119+F119+E119)*C131</f>
        <v>0</v>
      </c>
      <c r="M131" s="627"/>
      <c r="N131" s="273"/>
      <c r="O131" s="273"/>
    </row>
    <row r="132" spans="1:15" hidden="1" outlineLevel="1" x14ac:dyDescent="0.35">
      <c r="A132" s="566" t="s">
        <v>448</v>
      </c>
      <c r="B132" s="567"/>
      <c r="C132" s="568"/>
      <c r="D132" s="569">
        <f>SUM(E132:L132)</f>
        <v>0</v>
      </c>
      <c r="E132" s="287">
        <f>SUMPRODUCT(E123:E129,C123:C129)</f>
        <v>0</v>
      </c>
      <c r="F132" s="287">
        <f>SUM(E123:F123)*C123+SUM(E124:F124)*C124+SUM(E125:F125)*C125+SUM(E126:F126)*C126+SUM(E127:F127)*C127+SUM(E128:F128)*C128+SUM(E129:F129)*C129</f>
        <v>0</v>
      </c>
      <c r="G132" s="287">
        <f>SUM(E123:G123)*C123+SUM(E124:G124)*C124+SUM(E125:G125)*C125+SUM(E126:G126)*C126+SUM(E127:G127)*C127+SUM(E128:G128)*C128+SUM(E129:G129)*C129</f>
        <v>0</v>
      </c>
      <c r="H132" s="287">
        <f>SUM(E123:H123)*C123+SUM(E124:H124)*C124+SUM(E125:H125)*C125+SUM(E126:H126)*C126+SUM(E127:H127)*C127+SUM(E128:H128)*C128+SUM(E129:H129)*C129</f>
        <v>0</v>
      </c>
      <c r="I132" s="287">
        <f>SUM(E123:I123)*C123+SUM(E124:I124)*C124+SUM(E125:I125)*C125+SUM(E126:I126)*C126+SUM(E127:I127)*C127+SUM(E128:I128)*C128+SUM(E129:I129)*C129</f>
        <v>0</v>
      </c>
      <c r="J132" s="287">
        <f>SUM(E123:J123)*C123+SUM(E124:J124)*C124+SUM(E125:J125)*C125+SUM(E126:J126)*C126+SUM(E127:J127)*C127+SUM(E128:J128)*C128+SUM(E129:J129)*C129</f>
        <v>0</v>
      </c>
      <c r="K132" s="287">
        <f>SUM(E123:K123)*C123+SUM(E124:K124)*C124+SUM(E125:K125)*C125+SUM(E126:K126)*C126+SUM(E127:K127)*C127+SUM(E128:K128)*C128+SUM(E129:K129)*C129</f>
        <v>0</v>
      </c>
      <c r="L132" s="565">
        <f>SUM(E123:L123)*C123+SUM(E124:L124)*C124+SUM(E125:L125)*C125+SUM(E126:L126)*C126+SUM(E127:L127)*C127+SUM(E128:L128)*C128+SUM(E129:L129)*C129</f>
        <v>0</v>
      </c>
      <c r="M132" s="627"/>
      <c r="N132" s="273"/>
      <c r="O132" s="273"/>
    </row>
    <row r="133" spans="1:15" hidden="1" outlineLevel="1" x14ac:dyDescent="0.35">
      <c r="A133" s="228"/>
      <c r="B133" s="244"/>
      <c r="C133" s="284"/>
      <c r="D133" s="285"/>
      <c r="F133" s="286"/>
      <c r="G133" s="286"/>
      <c r="H133" s="286"/>
      <c r="I133" s="286"/>
      <c r="J133" s="286"/>
      <c r="K133" s="286"/>
      <c r="L133" s="287"/>
      <c r="M133" s="286"/>
      <c r="N133" s="273"/>
      <c r="O133" s="273"/>
    </row>
    <row r="134" spans="1:15" hidden="1" outlineLevel="1" x14ac:dyDescent="0.35">
      <c r="A134" s="251" t="s">
        <v>358</v>
      </c>
      <c r="B134" s="252"/>
      <c r="C134" s="252"/>
      <c r="D134" s="253">
        <f>'Vue d''ensemble'!B33</f>
        <v>0</v>
      </c>
      <c r="E134" s="459">
        <f>SUM(E135:E136)+E137</f>
        <v>0</v>
      </c>
      <c r="F134" s="459">
        <f t="shared" ref="F134" si="85">SUM(F135:F136)+F137</f>
        <v>0</v>
      </c>
      <c r="G134" s="459">
        <f t="shared" ref="G134" si="86">SUM(G135:G136)+G137</f>
        <v>0</v>
      </c>
      <c r="H134" s="459">
        <f t="shared" ref="H134:L134" si="87">SUM(H135:H136)+H137</f>
        <v>0</v>
      </c>
      <c r="I134" s="459">
        <f t="shared" si="87"/>
        <v>0</v>
      </c>
      <c r="J134" s="459">
        <f t="shared" si="87"/>
        <v>0</v>
      </c>
      <c r="K134" s="459">
        <f t="shared" si="87"/>
        <v>0</v>
      </c>
      <c r="L134" s="459">
        <f t="shared" si="87"/>
        <v>0</v>
      </c>
      <c r="M134" s="626"/>
      <c r="N134" s="288">
        <f>SUM(E134:L134)</f>
        <v>0</v>
      </c>
      <c r="O134" s="254">
        <f>SUM(O135:O144)</f>
        <v>0</v>
      </c>
    </row>
    <row r="135" spans="1:15" hidden="1" outlineLevel="1" x14ac:dyDescent="0.35">
      <c r="A135" s="228"/>
      <c r="B135" s="255" t="s">
        <v>269</v>
      </c>
      <c r="C135" s="256">
        <v>0</v>
      </c>
      <c r="D135" s="257">
        <f>'Vue d''ensemble'!T33</f>
        <v>0</v>
      </c>
      <c r="E135" s="259"/>
      <c r="F135" s="260">
        <f>IFERROR(D135*0.8,"")</f>
        <v>0</v>
      </c>
      <c r="G135" s="260"/>
      <c r="H135" s="260"/>
      <c r="I135" s="260"/>
      <c r="J135" s="260"/>
      <c r="K135" s="260"/>
      <c r="L135" s="261">
        <f>IFERROR(D135*0.2,"")</f>
        <v>0</v>
      </c>
      <c r="M135" s="621" t="str">
        <f>IF(SUM(E135:L135)='Vue d''ensemble'!T33,"correcte","ne correspond pas")</f>
        <v>correcte</v>
      </c>
      <c r="N135" s="258">
        <f>SUM(E135:L135)</f>
        <v>0</v>
      </c>
      <c r="O135" s="262" t="str">
        <f>IFERROR(SUM(E135:L135)/$D$134,"N/A")</f>
        <v>N/A</v>
      </c>
    </row>
    <row r="136" spans="1:15" hidden="1" outlineLevel="1" x14ac:dyDescent="0.35">
      <c r="A136" s="228"/>
      <c r="B136" s="263" t="s">
        <v>270</v>
      </c>
      <c r="C136" s="264">
        <v>0</v>
      </c>
      <c r="D136" s="631"/>
      <c r="E136" s="266"/>
      <c r="F136" s="267"/>
      <c r="G136" s="267"/>
      <c r="H136" s="267"/>
      <c r="I136" s="267"/>
      <c r="J136" s="267"/>
      <c r="K136" s="267"/>
      <c r="L136" s="268"/>
      <c r="M136" s="263"/>
      <c r="N136" s="265">
        <f>SUM(E136:L136)</f>
        <v>0</v>
      </c>
      <c r="O136" s="262" t="str">
        <f>IFERROR(SUM(E136:L136)/$D$134,"N/A")</f>
        <v>N/A</v>
      </c>
    </row>
    <row r="137" spans="1:15" hidden="1" outlineLevel="1" x14ac:dyDescent="0.35">
      <c r="A137" s="269"/>
      <c r="B137" s="244"/>
      <c r="C137" s="270"/>
      <c r="D137" s="271"/>
      <c r="E137" s="460">
        <f>SUM(E138:E144)</f>
        <v>0</v>
      </c>
      <c r="F137" s="460">
        <f t="shared" ref="F137:L137" si="88">SUM(F138:F144)</f>
        <v>0</v>
      </c>
      <c r="G137" s="460">
        <f t="shared" si="88"/>
        <v>0</v>
      </c>
      <c r="H137" s="460">
        <f t="shared" si="88"/>
        <v>0</v>
      </c>
      <c r="I137" s="460">
        <f t="shared" si="88"/>
        <v>0</v>
      </c>
      <c r="J137" s="460">
        <f t="shared" si="88"/>
        <v>0</v>
      </c>
      <c r="K137" s="460">
        <f t="shared" si="88"/>
        <v>0</v>
      </c>
      <c r="L137" s="460">
        <f t="shared" si="88"/>
        <v>0</v>
      </c>
      <c r="M137" s="274"/>
      <c r="N137" s="272"/>
      <c r="O137" s="262"/>
    </row>
    <row r="138" spans="1:15" hidden="1" outlineLevel="1" x14ac:dyDescent="0.35">
      <c r="A138" s="228"/>
      <c r="B138" s="461" t="s">
        <v>274</v>
      </c>
      <c r="C138" s="647"/>
      <c r="D138" s="257"/>
      <c r="E138" s="259"/>
      <c r="F138" s="260"/>
      <c r="G138" s="260"/>
      <c r="H138" s="260"/>
      <c r="I138" s="260"/>
      <c r="J138" s="260"/>
      <c r="K138" s="260"/>
      <c r="L138" s="261"/>
      <c r="M138" s="255"/>
      <c r="N138" s="255">
        <f t="shared" ref="N138:N144" si="89">SUM(E138:L138)</f>
        <v>0</v>
      </c>
      <c r="O138" s="262" t="str">
        <f t="shared" ref="O138:O144" si="90">IFERROR(SUM(E138:L138)/$D$134,"N/A")</f>
        <v>N/A</v>
      </c>
    </row>
    <row r="139" spans="1:15" hidden="1" outlineLevel="1" x14ac:dyDescent="0.35">
      <c r="A139" s="228"/>
      <c r="B139" s="462"/>
      <c r="C139" s="648"/>
      <c r="D139" s="628"/>
      <c r="E139" s="275"/>
      <c r="F139" s="276"/>
      <c r="G139" s="276"/>
      <c r="H139" s="276"/>
      <c r="I139" s="276"/>
      <c r="J139" s="276"/>
      <c r="K139" s="276"/>
      <c r="L139" s="277"/>
      <c r="M139" s="274"/>
      <c r="N139" s="274">
        <f t="shared" si="89"/>
        <v>0</v>
      </c>
      <c r="O139" s="262" t="str">
        <f t="shared" si="90"/>
        <v>N/A</v>
      </c>
    </row>
    <row r="140" spans="1:15" hidden="1" outlineLevel="1" x14ac:dyDescent="0.35">
      <c r="A140" s="228"/>
      <c r="B140" s="462"/>
      <c r="C140" s="648"/>
      <c r="D140" s="628"/>
      <c r="E140" s="275"/>
      <c r="F140" s="276"/>
      <c r="G140" s="276"/>
      <c r="H140" s="276"/>
      <c r="I140" s="276"/>
      <c r="J140" s="276"/>
      <c r="K140" s="276"/>
      <c r="L140" s="277"/>
      <c r="M140" s="274"/>
      <c r="N140" s="274">
        <f t="shared" si="89"/>
        <v>0</v>
      </c>
      <c r="O140" s="262" t="str">
        <f t="shared" si="90"/>
        <v>N/A</v>
      </c>
    </row>
    <row r="141" spans="1:15" hidden="1" outlineLevel="1" x14ac:dyDescent="0.35">
      <c r="A141" s="228"/>
      <c r="B141" s="462" t="s">
        <v>271</v>
      </c>
      <c r="C141" s="648"/>
      <c r="D141" s="628"/>
      <c r="E141" s="275"/>
      <c r="F141" s="276"/>
      <c r="G141" s="276"/>
      <c r="H141" s="276"/>
      <c r="I141" s="276"/>
      <c r="J141" s="276"/>
      <c r="K141" s="276"/>
      <c r="L141" s="277"/>
      <c r="M141" s="274"/>
      <c r="N141" s="274">
        <f t="shared" si="89"/>
        <v>0</v>
      </c>
      <c r="O141" s="262" t="str">
        <f t="shared" si="90"/>
        <v>N/A</v>
      </c>
    </row>
    <row r="142" spans="1:15" hidden="1" outlineLevel="1" x14ac:dyDescent="0.35">
      <c r="A142" s="228"/>
      <c r="B142" s="462"/>
      <c r="C142" s="648"/>
      <c r="D142" s="628"/>
      <c r="E142" s="275"/>
      <c r="F142" s="276"/>
      <c r="G142" s="276"/>
      <c r="H142" s="276"/>
      <c r="I142" s="276"/>
      <c r="J142" s="276"/>
      <c r="K142" s="276"/>
      <c r="L142" s="277"/>
      <c r="M142" s="274"/>
      <c r="N142" s="274">
        <f t="shared" si="89"/>
        <v>0</v>
      </c>
      <c r="O142" s="262" t="str">
        <f t="shared" si="90"/>
        <v>N/A</v>
      </c>
    </row>
    <row r="143" spans="1:15" hidden="1" outlineLevel="1" x14ac:dyDescent="0.35">
      <c r="A143" s="228"/>
      <c r="B143" s="462"/>
      <c r="C143" s="648"/>
      <c r="D143" s="629"/>
      <c r="E143" s="275"/>
      <c r="F143" s="276"/>
      <c r="G143" s="276"/>
      <c r="H143" s="276"/>
      <c r="I143" s="276"/>
      <c r="J143" s="276"/>
      <c r="K143" s="276"/>
      <c r="L143" s="277"/>
      <c r="M143" s="274"/>
      <c r="N143" s="274">
        <f t="shared" si="89"/>
        <v>0</v>
      </c>
      <c r="O143" s="262" t="str">
        <f t="shared" si="90"/>
        <v>N/A</v>
      </c>
    </row>
    <row r="144" spans="1:15" hidden="1" outlineLevel="1" x14ac:dyDescent="0.35">
      <c r="A144" s="230"/>
      <c r="B144" s="463"/>
      <c r="C144" s="649"/>
      <c r="D144" s="630"/>
      <c r="E144" s="266"/>
      <c r="F144" s="267"/>
      <c r="G144" s="267"/>
      <c r="H144" s="267"/>
      <c r="I144" s="267"/>
      <c r="J144" s="267"/>
      <c r="K144" s="267"/>
      <c r="L144" s="268"/>
      <c r="M144" s="263"/>
      <c r="N144" s="263">
        <f t="shared" si="89"/>
        <v>0</v>
      </c>
      <c r="O144" s="262" t="str">
        <f t="shared" si="90"/>
        <v>N/A</v>
      </c>
    </row>
    <row r="145" spans="1:33" hidden="1" outlineLevel="1" x14ac:dyDescent="0.35">
      <c r="A145" s="278" t="s">
        <v>381</v>
      </c>
      <c r="B145" s="279" t="s">
        <v>382</v>
      </c>
      <c r="C145" s="650"/>
      <c r="D145" s="280">
        <f>SUM(E145:L145)</f>
        <v>0</v>
      </c>
      <c r="E145" s="464">
        <f>E137*C145</f>
        <v>0</v>
      </c>
      <c r="F145" s="464">
        <f>(F137+E137)*C145</f>
        <v>0</v>
      </c>
      <c r="G145" s="464">
        <f>(G137+F137+E137)*C145</f>
        <v>0</v>
      </c>
      <c r="H145" s="464">
        <f>(H137+G137+F137+E137)*C145</f>
        <v>0</v>
      </c>
      <c r="I145" s="464">
        <f>(I137+H137+G137+F137+E137)*C145</f>
        <v>0</v>
      </c>
      <c r="J145" s="464">
        <f>(J137+I137+H137+G137+F137+E137)*C145</f>
        <v>0</v>
      </c>
      <c r="K145" s="464">
        <f>(K137+J137+I137+H137+G137+F137+E137)*C145</f>
        <v>0</v>
      </c>
      <c r="L145" s="465">
        <f>(L137+K137+J137+I137+H137+G137+F137+E137)*C145</f>
        <v>0</v>
      </c>
      <c r="M145" s="627"/>
      <c r="N145" s="273"/>
      <c r="O145" s="273"/>
    </row>
    <row r="146" spans="1:33" hidden="1" outlineLevel="1" x14ac:dyDescent="0.35">
      <c r="A146" s="281" t="s">
        <v>383</v>
      </c>
      <c r="B146" s="282" t="s">
        <v>384</v>
      </c>
      <c r="C146" s="651"/>
      <c r="D146" s="283">
        <f>SUM(E146:L146)</f>
        <v>0</v>
      </c>
      <c r="E146" s="466">
        <f>E134*C146</f>
        <v>0</v>
      </c>
      <c r="F146" s="466">
        <f>(F134+E134)*C146</f>
        <v>0</v>
      </c>
      <c r="G146" s="466">
        <f>(G134+F134+E134)*C146</f>
        <v>0</v>
      </c>
      <c r="H146" s="466">
        <f>(H134+G134+F134+E134)*C146</f>
        <v>0</v>
      </c>
      <c r="I146" s="466">
        <f>(I134+H134+G134+F134+E134)*C146</f>
        <v>0</v>
      </c>
      <c r="J146" s="466">
        <f>(J134+I134+H134+G134+F134+E134)*C146</f>
        <v>0</v>
      </c>
      <c r="K146" s="466">
        <f>(K134+J134+I134+H134+G134+F134+E134)*C146</f>
        <v>0</v>
      </c>
      <c r="L146" s="467">
        <f>(L134+K134+J134+I134+H134+G134+F134+E134)*C146</f>
        <v>0</v>
      </c>
      <c r="M146" s="627"/>
      <c r="N146" s="273"/>
      <c r="O146" s="273"/>
    </row>
    <row r="147" spans="1:33" hidden="1" outlineLevel="1" x14ac:dyDescent="0.35">
      <c r="A147" s="566" t="s">
        <v>448</v>
      </c>
      <c r="B147" s="567"/>
      <c r="C147" s="568"/>
      <c r="D147" s="569">
        <f>SUM(E147:L147)</f>
        <v>0</v>
      </c>
      <c r="E147" s="287">
        <f>SUMPRODUCT(E138:E144,C138:C144)</f>
        <v>0</v>
      </c>
      <c r="F147" s="287">
        <f>SUM(E138:F138)*C138+SUM(E139:F139)*C139+SUM(E140:F140)*C140+SUM(E141:F141)*C141+SUM(E142:F142)*C142+SUM(E143:F143)*C143+SUM(E144:F144)*C144</f>
        <v>0</v>
      </c>
      <c r="G147" s="287">
        <f>SUM(E138:G138)*C138+SUM(E139:G139)*C139+SUM(E140:G140)*C140+SUM(E141:G141)*C141+SUM(E142:G142)*C142+SUM(E143:G143)*C143+SUM(E144:G144)*C144</f>
        <v>0</v>
      </c>
      <c r="H147" s="287">
        <f>SUM(E138:H138)*C138+SUM(E139:H139)*C139+SUM(E140:H140)*C140+SUM(E141:H141)*C141+SUM(E142:H142)*C142+SUM(E143:H143)*C143+SUM(E144:H144)*C144</f>
        <v>0</v>
      </c>
      <c r="I147" s="287">
        <f>SUM(E138:I138)*C138+SUM(E139:I139)*C139+SUM(E140:I140)*C140+SUM(E141:I141)*C141+SUM(E142:I142)*C142+SUM(E143:I143)*C143+SUM(E144:I144)*C144</f>
        <v>0</v>
      </c>
      <c r="J147" s="287">
        <f>SUM(E138:J138)*C138+SUM(E139:J139)*C139+SUM(E140:J140)*C140+SUM(E141:J141)*C141+SUM(E142:J142)*C142+SUM(E143:J143)*C143+SUM(E144:J144)*C144</f>
        <v>0</v>
      </c>
      <c r="K147" s="287">
        <f>SUM(E138:K138)*C138+SUM(E139:K139)*C139+SUM(E140:K140)*C140+SUM(E141:K141)*C141+SUM(E142:K142)*C142+SUM(E143:K143)*C143+SUM(E144:K144)*C144</f>
        <v>0</v>
      </c>
      <c r="L147" s="565">
        <f>SUM(E138:L138)*C138+SUM(E139:L139)*C139+SUM(E140:L140)*C140+SUM(E141:L141)*C141+SUM(E142:L142)*C142+SUM(E143:L143)*C143+SUM(E144:L144)*C144</f>
        <v>0</v>
      </c>
      <c r="M147" s="627"/>
      <c r="N147" s="273"/>
      <c r="O147" s="273"/>
    </row>
    <row r="148" spans="1:33" collapsed="1" x14ac:dyDescent="0.35">
      <c r="A148" s="228"/>
      <c r="B148" s="244"/>
      <c r="C148" s="284"/>
      <c r="D148" s="285"/>
      <c r="F148" s="286"/>
      <c r="G148" s="286"/>
      <c r="H148" s="286"/>
      <c r="I148" s="286"/>
      <c r="J148" s="286"/>
      <c r="K148" s="286"/>
      <c r="L148" s="287"/>
      <c r="M148" s="286"/>
      <c r="N148" s="273"/>
      <c r="O148" s="273"/>
    </row>
    <row r="149" spans="1:33" s="482" customFormat="1" ht="18" x14ac:dyDescent="0.4">
      <c r="A149" s="480" t="s">
        <v>385</v>
      </c>
      <c r="B149" s="479"/>
      <c r="C149" s="479"/>
      <c r="D149" s="479"/>
      <c r="E149" s="479"/>
      <c r="F149" s="479"/>
      <c r="G149" s="479"/>
      <c r="H149" s="479"/>
      <c r="I149" s="480"/>
      <c r="J149" s="479"/>
      <c r="K149" s="479"/>
      <c r="L149" s="479"/>
      <c r="M149" s="479"/>
      <c r="N149" s="479"/>
      <c r="O149" s="479"/>
      <c r="P149" s="11"/>
      <c r="Q149" s="512"/>
      <c r="R149" s="512"/>
      <c r="S149" s="512"/>
      <c r="T149" s="484"/>
      <c r="U149" s="481"/>
      <c r="V149" s="481"/>
      <c r="W149" s="481"/>
      <c r="X149" s="481"/>
      <c r="Y149" s="481"/>
      <c r="Z149" s="481"/>
      <c r="AA149" s="481"/>
      <c r="AB149" s="481"/>
      <c r="AC149" s="481"/>
      <c r="AD149" s="485"/>
      <c r="AE149" s="485"/>
      <c r="AF149" s="485"/>
      <c r="AG149" s="485"/>
    </row>
    <row r="150" spans="1:33" s="250" customFormat="1" ht="46.5" outlineLevel="1" x14ac:dyDescent="0.35">
      <c r="A150" s="289"/>
      <c r="B150" s="393"/>
      <c r="C150" s="394"/>
      <c r="D150" s="394" t="s">
        <v>312</v>
      </c>
      <c r="E150" s="432" t="str">
        <f>'Compte de résultats'!C8</f>
        <v>n = année précédente</v>
      </c>
      <c r="F150" s="432" t="str">
        <f>'Compte de résultats'!D8</f>
        <v>n + 1
(1ère année du PDR)</v>
      </c>
      <c r="G150" s="432" t="str">
        <f>'Compte de résultats'!E8</f>
        <v>n+2
(deuxième année)</v>
      </c>
      <c r="H150" s="432" t="str">
        <f>'Compte de résultats'!F8</f>
        <v>n+3</v>
      </c>
      <c r="I150" s="432" t="str">
        <f>'Compte de résultats'!G8</f>
        <v>n+4</v>
      </c>
      <c r="J150" s="432" t="str">
        <f>'Compte de résultats'!H8</f>
        <v>n+5</v>
      </c>
      <c r="K150" s="432" t="str">
        <f>'Compte de résultats'!I8</f>
        <v>n+6
(dernière année du PDR)</v>
      </c>
      <c r="L150" s="432" t="str">
        <f>'Compte de résultats'!J8</f>
        <v>1re année après la mise en oeuvre</v>
      </c>
      <c r="M150" s="620"/>
      <c r="N150" s="617"/>
      <c r="O150" s="616"/>
      <c r="P150" s="11"/>
      <c r="Q150" s="11"/>
      <c r="R150" s="11"/>
      <c r="S150" s="11"/>
      <c r="T150" s="11"/>
      <c r="U150" s="11"/>
      <c r="V150" s="11"/>
      <c r="W150" s="11"/>
      <c r="X150" s="11"/>
      <c r="Y150" s="11"/>
      <c r="Z150" s="11"/>
      <c r="AA150" s="11"/>
      <c r="AB150" s="11"/>
      <c r="AC150" s="11"/>
    </row>
    <row r="151" spans="1:33" ht="18" outlineLevel="1" x14ac:dyDescent="0.35">
      <c r="A151" s="290" t="s">
        <v>386</v>
      </c>
      <c r="B151" s="291"/>
      <c r="C151" s="292"/>
      <c r="D151" s="293"/>
      <c r="E151" s="294"/>
      <c r="F151" s="291"/>
      <c r="G151" s="291"/>
      <c r="H151" s="291"/>
      <c r="I151" s="291"/>
      <c r="J151" s="291"/>
      <c r="K151" s="291"/>
      <c r="L151" s="291"/>
      <c r="M151" s="479"/>
      <c r="N151" s="479"/>
      <c r="O151" s="479"/>
    </row>
    <row r="152" spans="1:33" outlineLevel="1" x14ac:dyDescent="0.35">
      <c r="A152" s="278"/>
      <c r="B152" s="295"/>
      <c r="C152" s="296"/>
      <c r="D152" s="297">
        <f>SUM(E152:L152)</f>
        <v>0</v>
      </c>
      <c r="E152" s="468">
        <f>SUM(E153:E155)</f>
        <v>0</v>
      </c>
      <c r="F152" s="469">
        <f t="shared" ref="F152:I152" si="91">SUM(F153:F155)</f>
        <v>0</v>
      </c>
      <c r="G152" s="469">
        <f t="shared" si="91"/>
        <v>0</v>
      </c>
      <c r="H152" s="469">
        <f t="shared" si="91"/>
        <v>0</v>
      </c>
      <c r="I152" s="469">
        <f t="shared" si="91"/>
        <v>0</v>
      </c>
      <c r="J152" s="469">
        <f>SUM(J153:J155)</f>
        <v>0</v>
      </c>
      <c r="K152" s="469">
        <f>SUM(K153:K155)</f>
        <v>0</v>
      </c>
      <c r="L152" s="469">
        <f>SUM(L153:L155)</f>
        <v>0</v>
      </c>
      <c r="M152" s="604"/>
      <c r="O152" s="582"/>
    </row>
    <row r="153" spans="1:33" outlineLevel="1" x14ac:dyDescent="0.35">
      <c r="A153" s="228" t="s">
        <v>387</v>
      </c>
      <c r="B153" s="298"/>
      <c r="C153" s="299"/>
      <c r="D153" s="300">
        <f>SUM(E153:L153)</f>
        <v>0</v>
      </c>
      <c r="E153" s="301"/>
      <c r="F153" s="276"/>
      <c r="G153" s="276"/>
      <c r="H153" s="276"/>
      <c r="I153" s="276"/>
      <c r="J153" s="276"/>
      <c r="K153" s="276"/>
      <c r="L153" s="276"/>
      <c r="M153" s="604"/>
      <c r="O153" s="582"/>
    </row>
    <row r="154" spans="1:33" outlineLevel="1" x14ac:dyDescent="0.35">
      <c r="A154" s="228" t="s">
        <v>388</v>
      </c>
      <c r="B154" s="298"/>
      <c r="C154" s="299"/>
      <c r="D154" s="300">
        <f t="shared" ref="D154:D155" si="92">SUM(E154:L154)</f>
        <v>0</v>
      </c>
      <c r="E154" s="301"/>
      <c r="F154" s="276"/>
      <c r="G154" s="276"/>
      <c r="H154" s="276"/>
      <c r="I154" s="276"/>
      <c r="J154" s="276"/>
      <c r="K154" s="276"/>
      <c r="L154" s="276"/>
      <c r="M154" s="604"/>
      <c r="O154" s="582"/>
    </row>
    <row r="155" spans="1:33" outlineLevel="1" x14ac:dyDescent="0.35">
      <c r="B155" s="298"/>
      <c r="C155" s="299"/>
      <c r="D155" s="300">
        <f t="shared" si="92"/>
        <v>0</v>
      </c>
      <c r="E155" s="301"/>
      <c r="F155" s="276"/>
      <c r="G155" s="276"/>
      <c r="H155" s="276"/>
      <c r="I155" s="276"/>
      <c r="J155" s="276"/>
      <c r="K155" s="276"/>
      <c r="L155" s="276"/>
      <c r="M155" s="604"/>
      <c r="O155" s="582"/>
    </row>
    <row r="156" spans="1:33" x14ac:dyDescent="0.35">
      <c r="A156" s="228"/>
      <c r="B156" s="244"/>
      <c r="C156" s="243"/>
      <c r="D156" s="244"/>
      <c r="E156" s="286"/>
      <c r="F156" s="286"/>
      <c r="G156" s="286"/>
      <c r="I156" s="286"/>
      <c r="J156" s="286"/>
      <c r="K156" s="286"/>
      <c r="L156" s="286"/>
      <c r="M156" s="604"/>
    </row>
    <row r="157" spans="1:33" s="482" customFormat="1" ht="18" x14ac:dyDescent="0.4">
      <c r="A157" s="635" t="s">
        <v>449</v>
      </c>
      <c r="B157" s="636"/>
      <c r="C157" s="479"/>
      <c r="D157" s="644" t="s">
        <v>312</v>
      </c>
      <c r="E157" s="479"/>
      <c r="F157" s="479"/>
      <c r="G157" s="479"/>
      <c r="H157" s="480"/>
      <c r="I157" s="479"/>
      <c r="J157" s="479"/>
      <c r="K157" s="479"/>
      <c r="L157" s="479"/>
      <c r="M157" s="604"/>
      <c r="P157" s="11"/>
      <c r="Q157" s="512"/>
      <c r="R157" s="512"/>
      <c r="S157" s="512"/>
      <c r="T157" s="484"/>
      <c r="U157" s="481"/>
      <c r="V157" s="481"/>
      <c r="W157" s="481"/>
      <c r="X157" s="481"/>
      <c r="Y157" s="481"/>
      <c r="Z157" s="481"/>
      <c r="AA157" s="481"/>
      <c r="AB157" s="481"/>
      <c r="AC157" s="481"/>
      <c r="AD157" s="485"/>
      <c r="AE157" s="485"/>
      <c r="AF157" s="485"/>
      <c r="AG157" s="485"/>
    </row>
    <row r="158" spans="1:33" s="241" customFormat="1" ht="20.5" customHeight="1" outlineLevel="1" x14ac:dyDescent="0.35">
      <c r="A158" s="246" t="s">
        <v>268</v>
      </c>
      <c r="B158" s="586" t="s">
        <v>453</v>
      </c>
      <c r="C158" s="639"/>
      <c r="D158" s="586">
        <f>SUM(E158:L158)</f>
        <v>0</v>
      </c>
      <c r="E158" s="456">
        <f>SUMIF($B$15:$B$148,"Prêts de tiers",E15:E148)</f>
        <v>0</v>
      </c>
      <c r="F158" s="456">
        <f>SUMIF($B$15:$B$148,"Prêts de tiers",F15:F148)</f>
        <v>0</v>
      </c>
      <c r="G158" s="456">
        <f t="shared" ref="G158:L158" si="93">SUMIF($B$15:$B$148,"Prêts de tiers",G15:G148)</f>
        <v>0</v>
      </c>
      <c r="H158" s="456">
        <f t="shared" si="93"/>
        <v>0</v>
      </c>
      <c r="I158" s="456">
        <f t="shared" si="93"/>
        <v>0</v>
      </c>
      <c r="J158" s="456">
        <f t="shared" si="93"/>
        <v>0</v>
      </c>
      <c r="K158" s="456">
        <f t="shared" si="93"/>
        <v>0</v>
      </c>
      <c r="L158" s="456">
        <f t="shared" si="93"/>
        <v>0</v>
      </c>
      <c r="M158" s="604"/>
      <c r="P158" s="11"/>
      <c r="Q158" s="11"/>
      <c r="R158" s="11"/>
      <c r="S158" s="11"/>
      <c r="T158" s="11"/>
      <c r="U158" s="11"/>
      <c r="V158" s="11"/>
      <c r="W158" s="11"/>
      <c r="X158" s="11"/>
      <c r="Y158" s="11"/>
      <c r="Z158" s="11"/>
      <c r="AA158" s="11"/>
      <c r="AB158" s="11"/>
      <c r="AC158" s="11"/>
    </row>
    <row r="159" spans="1:33" s="241" customFormat="1" ht="20.5" customHeight="1" outlineLevel="1" x14ac:dyDescent="0.35">
      <c r="A159" s="246" t="s">
        <v>272</v>
      </c>
      <c r="B159" s="586" t="s">
        <v>453</v>
      </c>
      <c r="C159" s="639"/>
      <c r="D159" s="586">
        <f t="shared" ref="D159:D162" si="94">SUM(E159:L159)</f>
        <v>0</v>
      </c>
      <c r="E159" s="456">
        <f>SUMIF($B$15:$B$148,"Prêts bancaires",E15:E148)</f>
        <v>0</v>
      </c>
      <c r="F159" s="456">
        <f>SUMIF($B$15:$B$148,"Prêts bancaires",F15:F148)</f>
        <v>0</v>
      </c>
      <c r="G159" s="456">
        <f t="shared" ref="G159:L159" si="95">SUMIF($B$15:$B$148,"Prêts bancaires",G15:G148)</f>
        <v>0</v>
      </c>
      <c r="H159" s="456">
        <f t="shared" si="95"/>
        <v>0</v>
      </c>
      <c r="I159" s="456">
        <f t="shared" si="95"/>
        <v>0</v>
      </c>
      <c r="J159" s="456">
        <f t="shared" si="95"/>
        <v>0</v>
      </c>
      <c r="K159" s="456">
        <f t="shared" si="95"/>
        <v>0</v>
      </c>
      <c r="L159" s="456">
        <f t="shared" si="95"/>
        <v>0</v>
      </c>
      <c r="M159" s="604"/>
      <c r="P159" s="11"/>
      <c r="Q159" s="11"/>
      <c r="R159" s="11"/>
      <c r="S159" s="11"/>
      <c r="T159" s="11"/>
      <c r="U159" s="11"/>
      <c r="V159" s="11"/>
      <c r="W159" s="11"/>
      <c r="X159" s="11"/>
      <c r="Y159" s="11"/>
      <c r="Z159" s="11"/>
      <c r="AA159" s="11"/>
      <c r="AB159" s="11"/>
      <c r="AC159" s="11"/>
    </row>
    <row r="160" spans="1:33" s="241" customFormat="1" ht="20.5" customHeight="1" outlineLevel="1" x14ac:dyDescent="0.35">
      <c r="A160" s="246" t="s">
        <v>271</v>
      </c>
      <c r="B160" s="586" t="s">
        <v>453</v>
      </c>
      <c r="C160" s="639"/>
      <c r="D160" s="586">
        <f t="shared" si="94"/>
        <v>0</v>
      </c>
      <c r="E160" s="456">
        <f>SUMIF($B$15:$B$148,"Hypothèque",E15:E148)</f>
        <v>0</v>
      </c>
      <c r="F160" s="456">
        <f>SUMIF($B$15:$B$148,"Hypothèque",F15:F148)</f>
        <v>0</v>
      </c>
      <c r="G160" s="456">
        <f t="shared" ref="G160:L160" si="96">SUMIF($B$15:$B$148,"Hypothèque",G15:G148)</f>
        <v>0</v>
      </c>
      <c r="H160" s="456">
        <f t="shared" si="96"/>
        <v>0</v>
      </c>
      <c r="I160" s="456">
        <f t="shared" si="96"/>
        <v>0</v>
      </c>
      <c r="J160" s="456">
        <f t="shared" si="96"/>
        <v>0</v>
      </c>
      <c r="K160" s="456">
        <f t="shared" si="96"/>
        <v>0</v>
      </c>
      <c r="L160" s="456">
        <f t="shared" si="96"/>
        <v>0</v>
      </c>
      <c r="M160" s="604"/>
      <c r="P160" s="11"/>
      <c r="Q160" s="11"/>
      <c r="R160" s="11"/>
      <c r="S160" s="11"/>
      <c r="T160" s="11"/>
      <c r="U160" s="11"/>
      <c r="V160" s="11"/>
      <c r="W160" s="11"/>
      <c r="X160" s="11"/>
      <c r="Y160" s="11"/>
      <c r="Z160" s="11"/>
      <c r="AA160" s="11"/>
      <c r="AB160" s="11"/>
      <c r="AC160" s="11"/>
    </row>
    <row r="161" spans="1:30" s="241" customFormat="1" ht="20.5" customHeight="1" outlineLevel="1" x14ac:dyDescent="0.35">
      <c r="A161" s="246" t="s">
        <v>267</v>
      </c>
      <c r="B161" s="586" t="s">
        <v>453</v>
      </c>
      <c r="C161" s="639"/>
      <c r="D161" s="586">
        <f t="shared" si="94"/>
        <v>0</v>
      </c>
      <c r="E161" s="456">
        <f>SUMIF($B$15:$B$148,"Crédit d'investissement",E15:E148)</f>
        <v>0</v>
      </c>
      <c r="F161" s="456">
        <f>SUMIF($B$15:$B$148,"Crédit d'investissement",F15:F148)</f>
        <v>0</v>
      </c>
      <c r="G161" s="456">
        <f t="shared" ref="G161:L161" si="97">SUMIF($B$15:$B$148,"Crédit d'investissement",G15:G148)</f>
        <v>0</v>
      </c>
      <c r="H161" s="456">
        <f t="shared" si="97"/>
        <v>0</v>
      </c>
      <c r="I161" s="456">
        <f t="shared" si="97"/>
        <v>0</v>
      </c>
      <c r="J161" s="456">
        <f t="shared" si="97"/>
        <v>0</v>
      </c>
      <c r="K161" s="456">
        <f t="shared" si="97"/>
        <v>0</v>
      </c>
      <c r="L161" s="456">
        <f t="shared" si="97"/>
        <v>0</v>
      </c>
      <c r="M161" s="604"/>
      <c r="P161" s="11"/>
      <c r="Q161" s="11"/>
      <c r="R161" s="11"/>
      <c r="S161" s="11"/>
      <c r="T161" s="11"/>
      <c r="U161" s="11"/>
      <c r="V161" s="11"/>
      <c r="W161" s="11"/>
      <c r="X161" s="11"/>
      <c r="Y161" s="11"/>
      <c r="Z161" s="11"/>
      <c r="AA161" s="11"/>
      <c r="AB161" s="11"/>
      <c r="AC161" s="11"/>
    </row>
    <row r="162" spans="1:30" s="241" customFormat="1" ht="20.5" customHeight="1" outlineLevel="1" x14ac:dyDescent="0.35">
      <c r="A162" s="246" t="s">
        <v>391</v>
      </c>
      <c r="B162" s="586" t="s">
        <v>453</v>
      </c>
      <c r="C162" s="640"/>
      <c r="D162" s="586">
        <f t="shared" si="94"/>
        <v>0</v>
      </c>
      <c r="E162" s="456">
        <f t="shared" ref="E162:L162" si="98">SUMIF($B$15:$B$148,"Financement du solde inconnu",E15:E148)</f>
        <v>0</v>
      </c>
      <c r="F162" s="456">
        <f>SUMIF($B$15:$B$148,"Financement du solde inconnu",F15:F148)</f>
        <v>0</v>
      </c>
      <c r="G162" s="456">
        <f>SUMIF($B$15:$B$148,"Financement du solde inconnu",G15:G148)</f>
        <v>0</v>
      </c>
      <c r="H162" s="456">
        <f t="shared" si="98"/>
        <v>0</v>
      </c>
      <c r="I162" s="456">
        <f t="shared" si="98"/>
        <v>0</v>
      </c>
      <c r="J162" s="456">
        <f t="shared" si="98"/>
        <v>0</v>
      </c>
      <c r="K162" s="456">
        <f t="shared" si="98"/>
        <v>0</v>
      </c>
      <c r="L162" s="456">
        <f t="shared" si="98"/>
        <v>0</v>
      </c>
      <c r="M162" s="604"/>
      <c r="P162" s="571"/>
      <c r="Q162" s="11"/>
      <c r="R162" s="11"/>
      <c r="S162" s="11"/>
      <c r="T162" s="11"/>
      <c r="U162" s="11"/>
      <c r="V162" s="11"/>
      <c r="W162" s="11"/>
      <c r="X162" s="11"/>
      <c r="Y162" s="11"/>
      <c r="Z162" s="11"/>
      <c r="AA162" s="11"/>
      <c r="AB162" s="11"/>
      <c r="AC162" s="11"/>
    </row>
    <row r="163" spans="1:30" s="241" customFormat="1" ht="20.5" customHeight="1" outlineLevel="1" thickBot="1" x14ac:dyDescent="0.4">
      <c r="A163" s="573" t="s">
        <v>450</v>
      </c>
      <c r="B163" s="587" t="s">
        <v>453</v>
      </c>
      <c r="C163" s="641"/>
      <c r="D163" s="587">
        <f>SUM(E163:L163)</f>
        <v>0</v>
      </c>
      <c r="E163" s="574">
        <f>SUM(E158:E162)</f>
        <v>0</v>
      </c>
      <c r="F163" s="574">
        <f t="shared" ref="F163:L163" si="99">SUM(F158:F162)</f>
        <v>0</v>
      </c>
      <c r="G163" s="574">
        <f t="shared" si="99"/>
        <v>0</v>
      </c>
      <c r="H163" s="574">
        <f>SUM(H158:H162)</f>
        <v>0</v>
      </c>
      <c r="I163" s="574">
        <f t="shared" si="99"/>
        <v>0</v>
      </c>
      <c r="J163" s="574">
        <f t="shared" si="99"/>
        <v>0</v>
      </c>
      <c r="K163" s="574">
        <f t="shared" si="99"/>
        <v>0</v>
      </c>
      <c r="L163" s="574">
        <f t="shared" si="99"/>
        <v>0</v>
      </c>
      <c r="M163" s="604"/>
      <c r="P163" s="571"/>
      <c r="Q163" s="11"/>
      <c r="R163" s="11"/>
      <c r="S163" s="11"/>
      <c r="T163" s="11"/>
      <c r="U163" s="11"/>
      <c r="V163" s="11"/>
      <c r="W163" s="11"/>
      <c r="X163" s="11"/>
      <c r="Y163" s="11"/>
      <c r="Z163" s="11"/>
      <c r="AA163" s="11"/>
      <c r="AB163" s="11"/>
      <c r="AC163" s="11"/>
    </row>
    <row r="164" spans="1:30" s="241" customFormat="1" ht="20.5" customHeight="1" outlineLevel="1" thickTop="1" x14ac:dyDescent="0.35">
      <c r="A164" s="638" t="s">
        <v>450</v>
      </c>
      <c r="B164" s="588" t="s">
        <v>452</v>
      </c>
      <c r="C164" s="640"/>
      <c r="D164" s="588"/>
      <c r="E164" s="637">
        <f>E163</f>
        <v>0</v>
      </c>
      <c r="F164" s="637">
        <f>E164+F163</f>
        <v>0</v>
      </c>
      <c r="G164" s="637">
        <f t="shared" ref="G164:L164" si="100">F164+G163</f>
        <v>0</v>
      </c>
      <c r="H164" s="637">
        <f t="shared" si="100"/>
        <v>0</v>
      </c>
      <c r="I164" s="637">
        <f t="shared" si="100"/>
        <v>0</v>
      </c>
      <c r="J164" s="637">
        <f t="shared" si="100"/>
        <v>0</v>
      </c>
      <c r="K164" s="637">
        <f t="shared" si="100"/>
        <v>0</v>
      </c>
      <c r="L164" s="637">
        <f t="shared" si="100"/>
        <v>0</v>
      </c>
      <c r="M164" s="604"/>
      <c r="P164" s="571"/>
      <c r="Q164" s="11"/>
      <c r="R164" s="11"/>
      <c r="S164" s="11"/>
      <c r="T164" s="11"/>
      <c r="U164" s="11"/>
      <c r="V164" s="11"/>
      <c r="W164" s="11"/>
      <c r="X164" s="11"/>
      <c r="Y164" s="11"/>
      <c r="Z164" s="11"/>
      <c r="AA164" s="11"/>
      <c r="AB164" s="11"/>
      <c r="AC164" s="11"/>
    </row>
    <row r="165" spans="1:30" s="241" customFormat="1" ht="20.5" customHeight="1" outlineLevel="1" x14ac:dyDescent="0.35">
      <c r="A165" s="572"/>
      <c r="B165" s="588"/>
      <c r="C165" s="640"/>
      <c r="D165" s="588"/>
      <c r="E165" s="637"/>
      <c r="F165" s="637"/>
      <c r="G165" s="637"/>
      <c r="H165" s="637"/>
      <c r="I165" s="637"/>
      <c r="J165" s="637"/>
      <c r="K165" s="637"/>
      <c r="L165" s="637"/>
      <c r="M165" s="604"/>
      <c r="P165" s="571"/>
      <c r="Q165" s="11"/>
      <c r="R165" s="11"/>
      <c r="S165" s="11"/>
      <c r="T165" s="11"/>
      <c r="U165" s="11"/>
      <c r="V165" s="11"/>
      <c r="W165" s="11"/>
      <c r="X165" s="11"/>
      <c r="Y165" s="11"/>
      <c r="Z165" s="11"/>
      <c r="AA165" s="11"/>
      <c r="AB165" s="11"/>
      <c r="AC165" s="11"/>
    </row>
    <row r="166" spans="1:30" s="241" customFormat="1" ht="20.5" customHeight="1" outlineLevel="1" x14ac:dyDescent="0.35">
      <c r="A166" s="246" t="s">
        <v>273</v>
      </c>
      <c r="B166" s="586" t="s">
        <v>453</v>
      </c>
      <c r="C166" s="639"/>
      <c r="D166" s="586">
        <f>SUM(E166:L166)</f>
        <v>0</v>
      </c>
      <c r="E166" s="456">
        <f t="shared" ref="E166:L166" si="101">SUMIF($B$15:$B$148,"Fonds propres",E15:E148)</f>
        <v>0</v>
      </c>
      <c r="F166" s="456">
        <f t="shared" si="101"/>
        <v>0</v>
      </c>
      <c r="G166" s="456">
        <f t="shared" si="101"/>
        <v>0</v>
      </c>
      <c r="H166" s="456">
        <f t="shared" si="101"/>
        <v>0</v>
      </c>
      <c r="I166" s="456">
        <f t="shared" si="101"/>
        <v>0</v>
      </c>
      <c r="J166" s="456">
        <f t="shared" si="101"/>
        <v>0</v>
      </c>
      <c r="K166" s="456">
        <f t="shared" si="101"/>
        <v>0</v>
      </c>
      <c r="L166" s="456">
        <f t="shared" si="101"/>
        <v>0</v>
      </c>
      <c r="M166" s="604"/>
      <c r="P166" s="571"/>
      <c r="Q166" s="11"/>
      <c r="R166" s="11"/>
      <c r="S166" s="11"/>
      <c r="T166" s="11"/>
      <c r="U166" s="11"/>
      <c r="V166" s="11"/>
      <c r="W166" s="11"/>
      <c r="X166" s="11"/>
      <c r="Y166" s="11"/>
      <c r="Z166" s="11"/>
      <c r="AA166" s="11"/>
      <c r="AB166" s="11"/>
      <c r="AC166" s="11"/>
    </row>
    <row r="167" spans="1:30" s="241" customFormat="1" ht="20.5" customHeight="1" outlineLevel="1" x14ac:dyDescent="0.35">
      <c r="A167" s="246" t="s">
        <v>269</v>
      </c>
      <c r="B167" s="586" t="s">
        <v>453</v>
      </c>
      <c r="C167" s="639"/>
      <c r="D167" s="586">
        <f t="shared" ref="D167:D168" si="102">SUM(E167:L167)</f>
        <v>0</v>
      </c>
      <c r="E167" s="456">
        <f>SUMIF($B$15:$B$148,"Contributions Confédération et canton",E15:E148)</f>
        <v>0</v>
      </c>
      <c r="F167" s="456">
        <f>SUMIF($B$15:$B$148,"Contributions Confédération et canton",F15:F148)</f>
        <v>0</v>
      </c>
      <c r="G167" s="456">
        <f t="shared" ref="G167:L167" si="103">SUMIF($B$15:$B$148,"Contributions Confédération et canton",G15:G148)</f>
        <v>0</v>
      </c>
      <c r="H167" s="456">
        <f t="shared" si="103"/>
        <v>0</v>
      </c>
      <c r="I167" s="456">
        <f t="shared" si="103"/>
        <v>0</v>
      </c>
      <c r="J167" s="456">
        <f t="shared" si="103"/>
        <v>0</v>
      </c>
      <c r="K167" s="456">
        <f t="shared" si="103"/>
        <v>0</v>
      </c>
      <c r="L167" s="456">
        <f t="shared" si="103"/>
        <v>0</v>
      </c>
      <c r="M167" s="604"/>
      <c r="P167" s="571"/>
      <c r="Q167" s="11"/>
      <c r="R167" s="11"/>
      <c r="S167" s="11"/>
      <c r="T167" s="11"/>
      <c r="U167" s="11"/>
      <c r="V167" s="11"/>
      <c r="W167" s="11"/>
      <c r="X167" s="11"/>
      <c r="Y167" s="11"/>
      <c r="Z167" s="11"/>
      <c r="AA167" s="11"/>
      <c r="AB167" s="11"/>
      <c r="AC167" s="11"/>
    </row>
    <row r="168" spans="1:30" s="241" customFormat="1" ht="20.5" customHeight="1" outlineLevel="1" x14ac:dyDescent="0.35">
      <c r="A168" s="572" t="s">
        <v>270</v>
      </c>
      <c r="B168" s="588" t="s">
        <v>453</v>
      </c>
      <c r="C168" s="640"/>
      <c r="D168" s="586">
        <f t="shared" si="102"/>
        <v>0</v>
      </c>
      <c r="E168" s="456">
        <f t="shared" ref="E168:L168" si="104">SUMIF($B$15:$B$148,"Contributions à fonds perdu de tiers",E15:E148)</f>
        <v>0</v>
      </c>
      <c r="F168" s="456">
        <f t="shared" si="104"/>
        <v>0</v>
      </c>
      <c r="G168" s="456">
        <f t="shared" si="104"/>
        <v>0</v>
      </c>
      <c r="H168" s="456">
        <f t="shared" si="104"/>
        <v>0</v>
      </c>
      <c r="I168" s="456">
        <f t="shared" si="104"/>
        <v>0</v>
      </c>
      <c r="J168" s="456">
        <f t="shared" si="104"/>
        <v>0</v>
      </c>
      <c r="K168" s="456">
        <f t="shared" si="104"/>
        <v>0</v>
      </c>
      <c r="L168" s="456">
        <f t="shared" si="104"/>
        <v>0</v>
      </c>
      <c r="M168" s="604"/>
      <c r="P168" s="571"/>
      <c r="Q168" s="11"/>
      <c r="R168" s="11"/>
      <c r="S168" s="11"/>
      <c r="T168" s="11"/>
      <c r="U168" s="11"/>
      <c r="V168" s="11"/>
      <c r="W168" s="11"/>
      <c r="X168" s="11"/>
      <c r="Y168" s="11"/>
      <c r="Z168" s="11"/>
      <c r="AA168" s="11"/>
      <c r="AB168" s="11"/>
      <c r="AC168" s="11"/>
    </row>
    <row r="169" spans="1:30" s="241" customFormat="1" ht="20.5" customHeight="1" outlineLevel="1" thickBot="1" x14ac:dyDescent="0.4">
      <c r="A169" s="573" t="s">
        <v>451</v>
      </c>
      <c r="B169" s="587" t="s">
        <v>453</v>
      </c>
      <c r="C169" s="641"/>
      <c r="D169" s="587">
        <f>SUM(E169:L169)</f>
        <v>0</v>
      </c>
      <c r="E169" s="574">
        <f t="shared" ref="E169:L169" si="105">SUM(E166:E168)+E163</f>
        <v>0</v>
      </c>
      <c r="F169" s="574">
        <f t="shared" si="105"/>
        <v>0</v>
      </c>
      <c r="G169" s="574">
        <f t="shared" si="105"/>
        <v>0</v>
      </c>
      <c r="H169" s="574">
        <f t="shared" si="105"/>
        <v>0</v>
      </c>
      <c r="I169" s="574">
        <f t="shared" si="105"/>
        <v>0</v>
      </c>
      <c r="J169" s="574">
        <f t="shared" si="105"/>
        <v>0</v>
      </c>
      <c r="K169" s="574">
        <f t="shared" si="105"/>
        <v>0</v>
      </c>
      <c r="L169" s="574">
        <f t="shared" si="105"/>
        <v>0</v>
      </c>
      <c r="M169" s="604"/>
      <c r="P169" s="571"/>
      <c r="Q169" s="11"/>
      <c r="R169" s="11"/>
      <c r="S169" s="11"/>
      <c r="T169" s="11"/>
      <c r="U169" s="11"/>
      <c r="V169" s="11"/>
      <c r="W169" s="11"/>
      <c r="X169" s="11"/>
      <c r="Y169" s="11"/>
      <c r="Z169" s="11"/>
      <c r="AA169" s="11"/>
      <c r="AB169" s="11"/>
      <c r="AC169" s="11"/>
    </row>
    <row r="170" spans="1:30" s="241" customFormat="1" ht="20.5" customHeight="1" outlineLevel="1" thickTop="1" x14ac:dyDescent="0.35">
      <c r="A170" s="600" t="s">
        <v>442</v>
      </c>
      <c r="B170" s="601" t="s">
        <v>452</v>
      </c>
      <c r="C170" s="642"/>
      <c r="D170" s="601"/>
      <c r="E170" s="602" t="e">
        <f>E164/'Aperçu liquidités'!E8</f>
        <v>#DIV/0!</v>
      </c>
      <c r="F170" s="602" t="e">
        <f>F164/'Aperçu liquidités'!F8</f>
        <v>#DIV/0!</v>
      </c>
      <c r="G170" s="602" t="e">
        <f>G164/'Aperçu liquidités'!G8</f>
        <v>#DIV/0!</v>
      </c>
      <c r="H170" s="602" t="e">
        <f>H164/'Aperçu liquidités'!H8</f>
        <v>#DIV/0!</v>
      </c>
      <c r="I170" s="602" t="e">
        <f>I164/'Aperçu liquidités'!I8</f>
        <v>#DIV/0!</v>
      </c>
      <c r="J170" s="602" t="e">
        <f>J164/'Aperçu liquidités'!J8</f>
        <v>#DIV/0!</v>
      </c>
      <c r="K170" s="602" t="e">
        <f>K164/'Aperçu liquidités'!K8</f>
        <v>#DIV/0!</v>
      </c>
      <c r="L170" s="602" t="e">
        <f>L164/'Aperçu liquidités'!L8</f>
        <v>#DIV/0!</v>
      </c>
      <c r="M170" s="604"/>
      <c r="O170" s="571"/>
      <c r="P170" s="11"/>
      <c r="Q170" s="11"/>
      <c r="R170" s="11"/>
      <c r="S170" s="11"/>
      <c r="T170" s="11"/>
      <c r="U170" s="11"/>
      <c r="V170" s="11"/>
      <c r="W170" s="11"/>
      <c r="X170" s="11"/>
      <c r="Y170" s="11"/>
      <c r="Z170" s="11"/>
      <c r="AA170" s="11"/>
      <c r="AB170" s="11"/>
      <c r="AC170" s="11"/>
      <c r="AD170" s="11"/>
    </row>
    <row r="171" spans="1:30" s="241" customFormat="1" ht="20.5" customHeight="1" outlineLevel="1" x14ac:dyDescent="0.35">
      <c r="A171" s="572"/>
      <c r="B171" s="603"/>
      <c r="C171" s="643"/>
      <c r="D171" s="604"/>
      <c r="E171" s="604"/>
      <c r="F171" s="604"/>
      <c r="G171" s="604"/>
      <c r="H171" s="604"/>
      <c r="I171" s="604"/>
      <c r="J171" s="604"/>
      <c r="K171" s="604"/>
      <c r="L171" s="571"/>
      <c r="M171" s="571"/>
      <c r="O171" s="571"/>
      <c r="P171" s="11"/>
      <c r="Q171" s="11"/>
      <c r="R171" s="11"/>
      <c r="S171" s="11"/>
      <c r="T171" s="11"/>
      <c r="U171" s="11"/>
      <c r="V171" s="11"/>
      <c r="W171" s="11"/>
      <c r="X171" s="11"/>
      <c r="Y171" s="11"/>
      <c r="Z171" s="11"/>
      <c r="AA171" s="11"/>
      <c r="AB171" s="11"/>
      <c r="AC171" s="11"/>
      <c r="AD171" s="11"/>
    </row>
    <row r="172" spans="1:30" s="241" customFormat="1" ht="20.5" customHeight="1" outlineLevel="1" x14ac:dyDescent="0.35">
      <c r="A172" s="245" t="s">
        <v>373</v>
      </c>
      <c r="B172" s="589" t="s">
        <v>453</v>
      </c>
      <c r="C172" s="646"/>
      <c r="D172" s="589">
        <f>SUM(E172:L172)</f>
        <v>0</v>
      </c>
      <c r="E172" s="457">
        <f t="shared" ref="E172:L172" si="106">E14+E29+E44+E59+E74+E89+E104+E119+E134</f>
        <v>0</v>
      </c>
      <c r="F172" s="457">
        <f t="shared" si="106"/>
        <v>0</v>
      </c>
      <c r="G172" s="457">
        <f t="shared" si="106"/>
        <v>0</v>
      </c>
      <c r="H172" s="457">
        <f t="shared" si="106"/>
        <v>0</v>
      </c>
      <c r="I172" s="457">
        <f t="shared" si="106"/>
        <v>0</v>
      </c>
      <c r="J172" s="457">
        <f t="shared" si="106"/>
        <v>0</v>
      </c>
      <c r="K172" s="457">
        <f t="shared" si="106"/>
        <v>0</v>
      </c>
      <c r="L172" s="458">
        <f t="shared" si="106"/>
        <v>0</v>
      </c>
      <c r="M172" s="604"/>
      <c r="Q172" s="11"/>
      <c r="R172" s="11"/>
      <c r="S172" s="11"/>
      <c r="T172" s="11"/>
      <c r="U172" s="11"/>
      <c r="V172" s="11"/>
      <c r="W172" s="11"/>
      <c r="X172" s="11"/>
      <c r="Y172" s="11"/>
      <c r="Z172" s="11"/>
      <c r="AA172" s="11"/>
      <c r="AB172" s="11"/>
      <c r="AC172" s="11"/>
    </row>
    <row r="173" spans="1:30" s="241" customFormat="1" ht="20.5" customHeight="1" outlineLevel="1" x14ac:dyDescent="0.35">
      <c r="A173" s="246" t="s">
        <v>374</v>
      </c>
      <c r="B173" s="586" t="s">
        <v>453</v>
      </c>
      <c r="C173" s="639"/>
      <c r="D173" s="586">
        <f>SUM(E173:L173)</f>
        <v>0</v>
      </c>
      <c r="E173" s="456">
        <f t="shared" ref="E173:L173" si="107">SUMIF($A$14:$A$147,"Amortissement",E14:E147)</f>
        <v>0</v>
      </c>
      <c r="F173" s="456">
        <f t="shared" si="107"/>
        <v>0</v>
      </c>
      <c r="G173" s="456">
        <f t="shared" si="107"/>
        <v>0</v>
      </c>
      <c r="H173" s="456">
        <f t="shared" si="107"/>
        <v>0</v>
      </c>
      <c r="I173" s="456">
        <f t="shared" si="107"/>
        <v>0</v>
      </c>
      <c r="J173" s="456">
        <f t="shared" si="107"/>
        <v>0</v>
      </c>
      <c r="K173" s="456">
        <f t="shared" si="107"/>
        <v>0</v>
      </c>
      <c r="L173" s="456">
        <f t="shared" si="107"/>
        <v>0</v>
      </c>
      <c r="M173" s="604"/>
      <c r="P173" s="571"/>
      <c r="Q173" s="11"/>
      <c r="R173" s="11"/>
      <c r="S173" s="11"/>
      <c r="T173" s="11"/>
      <c r="U173" s="11"/>
      <c r="V173" s="11"/>
      <c r="W173" s="11"/>
      <c r="X173" s="11"/>
      <c r="Y173" s="11"/>
      <c r="Z173" s="11"/>
      <c r="AA173" s="11"/>
      <c r="AB173" s="11"/>
      <c r="AC173" s="11"/>
    </row>
    <row r="174" spans="1:30" s="241" customFormat="1" ht="20.5" customHeight="1" outlineLevel="1" x14ac:dyDescent="0.35">
      <c r="A174" s="246" t="s">
        <v>375</v>
      </c>
      <c r="B174" s="586" t="s">
        <v>453</v>
      </c>
      <c r="C174" s="640"/>
      <c r="D174" s="588">
        <f>SUM(E174:L174)</f>
        <v>0</v>
      </c>
      <c r="E174" s="456">
        <f t="shared" ref="E174:L174" si="108">SUMIF($A$14:$A$147,"Entretien",E14:E147)</f>
        <v>0</v>
      </c>
      <c r="F174" s="456">
        <f t="shared" si="108"/>
        <v>0</v>
      </c>
      <c r="G174" s="456">
        <f t="shared" si="108"/>
        <v>0</v>
      </c>
      <c r="H174" s="456">
        <f t="shared" si="108"/>
        <v>0</v>
      </c>
      <c r="I174" s="456">
        <f t="shared" si="108"/>
        <v>0</v>
      </c>
      <c r="J174" s="456">
        <f t="shared" si="108"/>
        <v>0</v>
      </c>
      <c r="K174" s="456">
        <f t="shared" si="108"/>
        <v>0</v>
      </c>
      <c r="L174" s="456">
        <f t="shared" si="108"/>
        <v>0</v>
      </c>
      <c r="M174" s="604"/>
      <c r="Q174" s="11"/>
      <c r="R174" s="11"/>
      <c r="S174" s="11"/>
      <c r="T174" s="11"/>
      <c r="U174" s="11"/>
      <c r="V174" s="11"/>
      <c r="W174" s="11"/>
      <c r="X174" s="11"/>
      <c r="Y174" s="11"/>
      <c r="Z174" s="11"/>
      <c r="AA174" s="11"/>
      <c r="AB174" s="11"/>
      <c r="AC174" s="11"/>
    </row>
    <row r="175" spans="1:30" s="241" customFormat="1" ht="20.5" customHeight="1" outlineLevel="1" x14ac:dyDescent="0.35">
      <c r="A175" s="246" t="s">
        <v>389</v>
      </c>
      <c r="B175" s="586" t="s">
        <v>453</v>
      </c>
      <c r="C175" s="645"/>
      <c r="D175" s="601">
        <f>SUM(E175:L175)</f>
        <v>0</v>
      </c>
      <c r="E175" s="456">
        <f t="shared" ref="E175:L175" si="109">SUMIF($A$14:$A$147,"Intérêt",E14:E147)</f>
        <v>0</v>
      </c>
      <c r="F175" s="456">
        <f t="shared" si="109"/>
        <v>0</v>
      </c>
      <c r="G175" s="456">
        <f t="shared" si="109"/>
        <v>0</v>
      </c>
      <c r="H175" s="456">
        <f t="shared" si="109"/>
        <v>0</v>
      </c>
      <c r="I175" s="456">
        <f t="shared" si="109"/>
        <v>0</v>
      </c>
      <c r="J175" s="456">
        <f t="shared" si="109"/>
        <v>0</v>
      </c>
      <c r="K175" s="456">
        <f t="shared" si="109"/>
        <v>0</v>
      </c>
      <c r="L175" s="456">
        <f t="shared" si="109"/>
        <v>0</v>
      </c>
      <c r="M175" s="604"/>
      <c r="Q175" s="11"/>
      <c r="R175" s="11"/>
      <c r="S175" s="11"/>
      <c r="T175" s="11"/>
      <c r="U175" s="11"/>
      <c r="V175" s="11"/>
      <c r="W175" s="11"/>
      <c r="X175" s="11"/>
      <c r="Y175" s="11"/>
      <c r="Z175" s="11"/>
      <c r="AA175" s="11"/>
      <c r="AB175" s="11"/>
      <c r="AC175" s="11"/>
    </row>
    <row r="176" spans="1:30" x14ac:dyDescent="0.35">
      <c r="A176" s="244"/>
    </row>
    <row r="177" spans="1:1" x14ac:dyDescent="0.35">
      <c r="A177" s="244"/>
    </row>
  </sheetData>
  <sheetProtection formatCells="0"/>
  <mergeCells count="1">
    <mergeCell ref="A5:O5"/>
  </mergeCells>
  <conditionalFormatting sqref="M14:M27">
    <cfRule type="containsText" dxfId="10" priority="26" operator="containsText" text="nicht übereinstimmend">
      <formula>NOT(ISERROR(SEARCH("nicht übereinstimmend",M14)))</formula>
    </cfRule>
  </conditionalFormatting>
  <conditionalFormatting sqref="M14:M147">
    <cfRule type="containsText" dxfId="9" priority="1" operator="containsText" text="ne correspond pas">
      <formula>NOT(ISERROR(SEARCH("ne correspond pas",M14)))</formula>
    </cfRule>
  </conditionalFormatting>
  <conditionalFormatting sqref="M29:M42">
    <cfRule type="containsText" dxfId="8" priority="23" operator="containsText" text="nicht übereinstimmend">
      <formula>NOT(ISERROR(SEARCH("nicht übereinstimmend",M29)))</formula>
    </cfRule>
  </conditionalFormatting>
  <conditionalFormatting sqref="M44:M57">
    <cfRule type="containsText" dxfId="7" priority="20" operator="containsText" text="nicht übereinstimmend">
      <formula>NOT(ISERROR(SEARCH("nicht übereinstimmend",M44)))</formula>
    </cfRule>
  </conditionalFormatting>
  <conditionalFormatting sqref="M59:M72">
    <cfRule type="containsText" dxfId="6" priority="17" operator="containsText" text="nicht übereinstimmend">
      <formula>NOT(ISERROR(SEARCH("nicht übereinstimmend",M59)))</formula>
    </cfRule>
  </conditionalFormatting>
  <conditionalFormatting sqref="M74:M87">
    <cfRule type="containsText" dxfId="5" priority="14" operator="containsText" text="nicht übereinstimmend">
      <formula>NOT(ISERROR(SEARCH("nicht übereinstimmend",M74)))</formula>
    </cfRule>
  </conditionalFormatting>
  <conditionalFormatting sqref="M89:M102">
    <cfRule type="containsText" dxfId="4" priority="11" operator="containsText" text="nicht übereinstimmend">
      <formula>NOT(ISERROR(SEARCH("nicht übereinstimmend",M89)))</formula>
    </cfRule>
  </conditionalFormatting>
  <conditionalFormatting sqref="M104:M117">
    <cfRule type="containsText" dxfId="3" priority="8" operator="containsText" text="nicht übereinstimmend">
      <formula>NOT(ISERROR(SEARCH("nicht übereinstimmend",M104)))</formula>
    </cfRule>
  </conditionalFormatting>
  <conditionalFormatting sqref="M119:M132">
    <cfRule type="containsText" dxfId="2" priority="5" operator="containsText" text="nicht übereinstimmend">
      <formula>NOT(ISERROR(SEARCH("nicht übereinstimmend",M119)))</formula>
    </cfRule>
  </conditionalFormatting>
  <conditionalFormatting sqref="M134:M147">
    <cfRule type="containsText" dxfId="1" priority="2" operator="containsText" text="nicht übereinstimmend">
      <formula>NOT(ISERROR(SEARCH("nicht übereinstimmend",M134)))</formula>
    </cfRule>
  </conditionalFormatting>
  <pageMargins left="0.70866141732283472" right="0.70866141732283472" top="0.78740157480314965" bottom="0.78740157480314965" header="0.31496062992125984" footer="0.31496062992125984"/>
  <pageSetup paperSize="9" scale="42" fitToHeight="0" orientation="landscape" r:id="rId1"/>
  <rowBreaks count="3" manualBreakCount="3">
    <brk id="10" max="14" man="1"/>
    <brk id="57" max="14" man="1"/>
    <brk id="117" max="14" man="1"/>
  </rowBreaks>
  <ignoredErrors>
    <ignoredError sqref="E12:L13 E16:L17 F14:L14 E43:L47 C147:D148 E22:L24 E10:K11 E146:L148 D19:D26 E28:L29 D28 D48:L54 E56:L59 C57:D59 E71:L74 C72:D74 E86:L89 C87:D89 E101:L114 C102:D104 E116:L122 C117:D119 F131:L131 E132:L144 C133:D134 F15:K15 D60 D75 D90 D105 D120 D135 D56 D71 D86 D101 D116 D131 D146 E172:L172 D30 E31:L39 E30:K30 E61:L69 E60:K60 E76:L84 E75:K75 E91:L99 E90:K90 D152:L156 C132 D32:D39 D62:D69 D77:D84 D92:D99 D107:D114 D122 D137:D144 E158 E159 E160 E161 E162 H162:L162 E163:G163 I163:L163 E167 E168 H168:L168 G169:L169 E157:L157"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 input'!$B$48:$B$54</xm:f>
          </x14:formula1>
          <xm:sqref>B63:B69 B138:B144 B33:B39 B48:B54 B78:B84 B93:B99 B108:B114 B123:B129 B18:B24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8"/>
  <sheetViews>
    <sheetView showGridLines="0" topLeftCell="A4" zoomScale="70" zoomScaleNormal="70" workbookViewId="0">
      <selection activeCell="E38" sqref="E38"/>
    </sheetView>
  </sheetViews>
  <sheetFormatPr baseColWidth="10" defaultRowHeight="14" x14ac:dyDescent="0.3"/>
  <cols>
    <col min="1" max="1" width="22" customWidth="1"/>
    <col min="4" max="4" width="23.58203125" customWidth="1"/>
    <col min="5" max="13" width="14" customWidth="1"/>
  </cols>
  <sheetData>
    <row r="1" spans="1:33" s="392" customFormat="1" ht="28" customHeight="1" x14ac:dyDescent="0.35">
      <c r="A1" s="367" t="s">
        <v>477</v>
      </c>
      <c r="B1" s="12"/>
      <c r="C1" s="12"/>
      <c r="D1" s="12"/>
      <c r="E1" s="12"/>
      <c r="F1" s="12"/>
      <c r="G1" s="12"/>
      <c r="H1" s="12"/>
      <c r="I1" s="12"/>
      <c r="J1" s="12"/>
      <c r="K1" s="12"/>
      <c r="L1" s="12"/>
      <c r="M1" s="11"/>
      <c r="N1" s="11"/>
      <c r="O1" s="11"/>
      <c r="P1" s="11"/>
      <c r="Q1" s="11"/>
      <c r="R1" s="12"/>
      <c r="S1" s="12"/>
      <c r="T1" s="12"/>
      <c r="U1" s="12"/>
      <c r="V1" s="12"/>
      <c r="W1" s="391"/>
      <c r="X1" s="12"/>
      <c r="Y1" s="12"/>
      <c r="Z1" s="12"/>
      <c r="AA1" s="12"/>
      <c r="AB1" s="12"/>
      <c r="AC1" s="12"/>
      <c r="AD1" s="12"/>
    </row>
    <row r="2" spans="1:33" s="219" customFormat="1" ht="15.5" x14ac:dyDescent="0.35">
      <c r="A2" s="216" t="s">
        <v>275</v>
      </c>
      <c r="B2" s="217" t="str">
        <f>IF('Vue d''ensemble'!B2=0,"",'Vue d''ensemble'!B2)</f>
        <v/>
      </c>
      <c r="C2" s="216" t="s">
        <v>276</v>
      </c>
      <c r="D2" s="220"/>
      <c r="F2" s="218"/>
      <c r="G2" s="218"/>
      <c r="H2" s="218"/>
      <c r="I2" s="218"/>
      <c r="J2" s="218"/>
      <c r="K2" s="218"/>
      <c r="M2" s="11"/>
      <c r="N2" s="11"/>
      <c r="O2" s="11"/>
      <c r="P2" s="11"/>
      <c r="Q2" s="11"/>
      <c r="R2" s="11"/>
      <c r="S2" s="11"/>
      <c r="T2" s="11"/>
      <c r="U2" s="11"/>
      <c r="V2" s="11"/>
      <c r="W2" s="11"/>
      <c r="X2" s="11"/>
      <c r="Y2" s="11"/>
      <c r="Z2" s="11"/>
      <c r="AA2" s="11"/>
      <c r="AB2" s="11"/>
      <c r="AC2" s="11"/>
    </row>
    <row r="3" spans="1:33" s="482" customFormat="1" ht="18" x14ac:dyDescent="0.35">
      <c r="A3" s="480" t="s">
        <v>281</v>
      </c>
      <c r="B3" s="479"/>
      <c r="C3" s="479"/>
      <c r="D3" s="479"/>
      <c r="E3" s="479"/>
      <c r="F3" s="479"/>
      <c r="G3" s="479"/>
      <c r="H3" s="480"/>
      <c r="I3" s="479"/>
      <c r="J3" s="479"/>
      <c r="K3" s="479"/>
      <c r="L3" s="479"/>
      <c r="M3" s="11"/>
      <c r="N3" s="11"/>
      <c r="O3" s="11"/>
      <c r="P3" s="11"/>
      <c r="Q3" s="11"/>
      <c r="R3" s="11"/>
      <c r="S3" s="11"/>
      <c r="T3" s="11"/>
      <c r="U3" s="481"/>
      <c r="V3" s="481"/>
      <c r="W3" s="481"/>
      <c r="X3" s="481"/>
      <c r="Y3" s="481"/>
      <c r="Z3" s="481"/>
      <c r="AA3" s="481"/>
      <c r="AB3" s="481"/>
      <c r="AC3" s="481"/>
      <c r="AD3" s="485"/>
      <c r="AE3" s="485"/>
      <c r="AF3" s="485"/>
      <c r="AG3" s="485"/>
    </row>
    <row r="4" spans="1:33" s="18" customFormat="1" ht="47.5" customHeight="1" thickBot="1" x14ac:dyDescent="0.4">
      <c r="A4" s="716" t="s">
        <v>478</v>
      </c>
      <c r="B4" s="717"/>
      <c r="C4" s="717"/>
      <c r="D4" s="717"/>
      <c r="E4" s="717"/>
      <c r="F4" s="717"/>
      <c r="G4" s="717"/>
      <c r="H4" s="717"/>
      <c r="I4" s="717"/>
      <c r="J4" s="717"/>
      <c r="K4" s="717"/>
      <c r="L4" s="717"/>
      <c r="M4" s="11"/>
      <c r="O4" s="11"/>
      <c r="P4" s="11"/>
      <c r="Q4" s="11"/>
      <c r="R4" s="11"/>
      <c r="S4" s="11"/>
      <c r="T4" s="11"/>
      <c r="U4" s="11"/>
      <c r="V4" s="11"/>
      <c r="W4" s="11"/>
      <c r="X4" s="11"/>
      <c r="Y4" s="11"/>
      <c r="Z4" s="11"/>
      <c r="AA4" s="11"/>
      <c r="AB4" s="11"/>
      <c r="AC4" s="11"/>
    </row>
    <row r="5" spans="1:33" s="18" customFormat="1" ht="20.149999999999999" customHeight="1" thickTop="1" x14ac:dyDescent="0.35">
      <c r="A5" s="222" t="s">
        <v>285</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1:33" s="482" customFormat="1" ht="18" x14ac:dyDescent="0.35">
      <c r="A6" s="480" t="s">
        <v>357</v>
      </c>
      <c r="B6" s="479"/>
      <c r="C6" s="479"/>
      <c r="D6" s="479"/>
      <c r="E6" s="479"/>
      <c r="F6" s="479"/>
      <c r="G6" s="479"/>
      <c r="H6" s="479"/>
      <c r="I6" s="480"/>
      <c r="J6" s="479"/>
      <c r="K6" s="479"/>
      <c r="L6" s="479"/>
      <c r="M6" s="11"/>
      <c r="N6" s="11"/>
      <c r="O6" s="11"/>
      <c r="P6" s="11"/>
      <c r="Q6" s="11"/>
      <c r="R6" s="11"/>
      <c r="S6" s="11"/>
      <c r="T6" s="11"/>
      <c r="U6" s="481"/>
      <c r="V6" s="481"/>
      <c r="W6" s="481"/>
      <c r="X6" s="481"/>
      <c r="Y6" s="481"/>
      <c r="Z6" s="481"/>
      <c r="AA6" s="481"/>
      <c r="AB6" s="481"/>
      <c r="AC6" s="481"/>
      <c r="AD6" s="485"/>
      <c r="AE6" s="485"/>
      <c r="AF6" s="485"/>
      <c r="AG6" s="485"/>
    </row>
    <row r="7" spans="1:33" s="11" customFormat="1" ht="46.5" x14ac:dyDescent="0.35">
      <c r="A7" s="224"/>
      <c r="B7" s="224"/>
      <c r="C7" s="225"/>
      <c r="D7" s="225"/>
      <c r="E7" s="432" t="str">
        <f>'Compte de résultats'!C8</f>
        <v>n = année précédente</v>
      </c>
      <c r="F7" s="432" t="str">
        <f>'Compte de résultats'!D8</f>
        <v>n + 1
(1ère année du PDR)</v>
      </c>
      <c r="G7" s="432" t="str">
        <f>'Compte de résultats'!E8</f>
        <v>n+2
(deuxième année)</v>
      </c>
      <c r="H7" s="432" t="str">
        <f>'Compte de résultats'!F8</f>
        <v>n+3</v>
      </c>
      <c r="I7" s="432" t="str">
        <f>'Compte de résultats'!G8</f>
        <v>n+4</v>
      </c>
      <c r="J7" s="432" t="str">
        <f>'Compte de résultats'!H8</f>
        <v>n+5</v>
      </c>
      <c r="K7" s="432" t="str">
        <f>'Compte de résultats'!I8</f>
        <v>n+6
(dernière année du PDR)</v>
      </c>
      <c r="L7" s="433" t="str">
        <f>'Compte de résultats'!J8</f>
        <v>1re année après la mise en oeuvre</v>
      </c>
    </row>
    <row r="8" spans="1:33" s="11" customFormat="1" ht="24" customHeight="1" x14ac:dyDescent="0.35">
      <c r="A8" s="227" t="s">
        <v>359</v>
      </c>
      <c r="B8" s="228"/>
      <c r="E8" s="434">
        <f t="shared" ref="E8:L8" si="0">E10</f>
        <v>0</v>
      </c>
      <c r="F8" s="435">
        <f t="shared" si="0"/>
        <v>0</v>
      </c>
      <c r="G8" s="435">
        <f t="shared" si="0"/>
        <v>0</v>
      </c>
      <c r="H8" s="435">
        <f t="shared" si="0"/>
        <v>0</v>
      </c>
      <c r="I8" s="435">
        <f t="shared" si="0"/>
        <v>0</v>
      </c>
      <c r="J8" s="435">
        <f t="shared" si="0"/>
        <v>0</v>
      </c>
      <c r="K8" s="435">
        <f t="shared" si="0"/>
        <v>0</v>
      </c>
      <c r="L8" s="436">
        <f t="shared" si="0"/>
        <v>0</v>
      </c>
    </row>
    <row r="9" spans="1:33" s="11" customFormat="1" ht="24" customHeight="1" x14ac:dyDescent="0.35">
      <c r="A9" s="229" t="s">
        <v>314</v>
      </c>
      <c r="B9" s="230"/>
      <c r="C9" s="229"/>
      <c r="D9" s="229"/>
      <c r="E9" s="232">
        <f>E8</f>
        <v>0</v>
      </c>
      <c r="F9" s="437">
        <f t="shared" ref="F9:K9" si="1">F8+E9</f>
        <v>0</v>
      </c>
      <c r="G9" s="437">
        <f t="shared" si="1"/>
        <v>0</v>
      </c>
      <c r="H9" s="437">
        <f t="shared" si="1"/>
        <v>0</v>
      </c>
      <c r="I9" s="437">
        <f t="shared" si="1"/>
        <v>0</v>
      </c>
      <c r="J9" s="437">
        <f t="shared" si="1"/>
        <v>0</v>
      </c>
      <c r="K9" s="437">
        <f t="shared" si="1"/>
        <v>0</v>
      </c>
      <c r="L9" s="438">
        <f>L8+J9</f>
        <v>0</v>
      </c>
    </row>
    <row r="10" spans="1:33" s="11" customFormat="1" ht="24" customHeight="1" x14ac:dyDescent="0.35">
      <c r="A10" s="228" t="s">
        <v>360</v>
      </c>
      <c r="E10" s="231">
        <f>'Compte de résultats'!C43</f>
        <v>0</v>
      </c>
      <c r="F10" s="439">
        <f>'Compte de résultats'!D43</f>
        <v>0</v>
      </c>
      <c r="G10" s="439">
        <f>'Compte de résultats'!E43</f>
        <v>0</v>
      </c>
      <c r="H10" s="439">
        <f>'Compte de résultats'!F43</f>
        <v>0</v>
      </c>
      <c r="I10" s="439">
        <f>'Compte de résultats'!G43</f>
        <v>0</v>
      </c>
      <c r="J10" s="439">
        <f>'Compte de résultats'!H43</f>
        <v>0</v>
      </c>
      <c r="K10" s="439">
        <f>'Compte de résultats'!I43</f>
        <v>0</v>
      </c>
      <c r="L10" s="440">
        <f>'Compte de résultats'!J43</f>
        <v>0</v>
      </c>
    </row>
    <row r="11" spans="1:33" s="11" customFormat="1" ht="24" customHeight="1" x14ac:dyDescent="0.35">
      <c r="A11" s="228" t="s">
        <v>361</v>
      </c>
      <c r="E11" s="441"/>
      <c r="F11" s="442"/>
      <c r="G11" s="442"/>
      <c r="H11" s="442"/>
      <c r="I11" s="442"/>
      <c r="J11" s="442"/>
      <c r="K11" s="443"/>
      <c r="L11" s="444"/>
    </row>
    <row r="12" spans="1:33" s="11" customFormat="1" ht="24" customHeight="1" x14ac:dyDescent="0.35">
      <c r="A12" s="228" t="s">
        <v>362</v>
      </c>
      <c r="E12" s="441"/>
      <c r="F12" s="442"/>
      <c r="G12" s="442"/>
      <c r="H12" s="442"/>
      <c r="I12" s="442"/>
      <c r="J12" s="442"/>
      <c r="K12" s="443"/>
      <c r="L12" s="444"/>
    </row>
    <row r="13" spans="1:33" s="11" customFormat="1" ht="15.5" x14ac:dyDescent="0.35">
      <c r="A13" s="230"/>
      <c r="B13" s="229"/>
      <c r="C13" s="229"/>
      <c r="D13" s="229"/>
      <c r="E13" s="232"/>
      <c r="F13" s="437"/>
      <c r="G13" s="437"/>
      <c r="H13" s="437"/>
      <c r="I13" s="437"/>
      <c r="J13" s="437"/>
      <c r="K13" s="445"/>
      <c r="L13" s="438"/>
    </row>
    <row r="14" spans="1:33" s="11" customFormat="1" ht="24" customHeight="1" x14ac:dyDescent="0.35">
      <c r="A14" s="227" t="s">
        <v>363</v>
      </c>
      <c r="B14" s="228"/>
      <c r="E14" s="446">
        <f>E16-E17</f>
        <v>0</v>
      </c>
      <c r="F14" s="447">
        <f t="shared" ref="F14:L14" si="2">F16-F17</f>
        <v>0</v>
      </c>
      <c r="G14" s="447">
        <f t="shared" si="2"/>
        <v>0</v>
      </c>
      <c r="H14" s="447">
        <f t="shared" si="2"/>
        <v>0</v>
      </c>
      <c r="I14" s="447">
        <f t="shared" si="2"/>
        <v>0</v>
      </c>
      <c r="J14" s="447">
        <f t="shared" si="2"/>
        <v>0</v>
      </c>
      <c r="K14" s="447">
        <f t="shared" si="2"/>
        <v>0</v>
      </c>
      <c r="L14" s="448">
        <f t="shared" si="2"/>
        <v>0</v>
      </c>
    </row>
    <row r="15" spans="1:33" s="11" customFormat="1" ht="24" customHeight="1" x14ac:dyDescent="0.35">
      <c r="A15" s="229" t="s">
        <v>364</v>
      </c>
      <c r="B15" s="230"/>
      <c r="C15" s="229"/>
      <c r="D15" s="229"/>
      <c r="E15" s="232">
        <f>E14</f>
        <v>0</v>
      </c>
      <c r="F15" s="437">
        <f t="shared" ref="F15:L15" si="3">F14+E15</f>
        <v>0</v>
      </c>
      <c r="G15" s="437">
        <f t="shared" si="3"/>
        <v>0</v>
      </c>
      <c r="H15" s="437">
        <f t="shared" si="3"/>
        <v>0</v>
      </c>
      <c r="I15" s="437">
        <f t="shared" si="3"/>
        <v>0</v>
      </c>
      <c r="J15" s="437">
        <f t="shared" si="3"/>
        <v>0</v>
      </c>
      <c r="K15" s="437">
        <f t="shared" si="3"/>
        <v>0</v>
      </c>
      <c r="L15" s="438">
        <f t="shared" si="3"/>
        <v>0</v>
      </c>
    </row>
    <row r="16" spans="1:33" s="11" customFormat="1" ht="24" customHeight="1" x14ac:dyDescent="0.35">
      <c r="A16" s="233" t="s">
        <v>365</v>
      </c>
      <c r="E16" s="234">
        <f>'Sources de financement'!E152</f>
        <v>0</v>
      </c>
      <c r="F16" s="303">
        <f>'Sources de financement'!F152</f>
        <v>0</v>
      </c>
      <c r="G16" s="303">
        <f>'Sources de financement'!G152</f>
        <v>0</v>
      </c>
      <c r="H16" s="303">
        <f>'Sources de financement'!H152</f>
        <v>0</v>
      </c>
      <c r="I16" s="303">
        <f>'Sources de financement'!I152</f>
        <v>0</v>
      </c>
      <c r="J16" s="303">
        <f>'Sources de financement'!J152</f>
        <v>0</v>
      </c>
      <c r="K16" s="303">
        <f>'Sources de financement'!K152</f>
        <v>0</v>
      </c>
      <c r="L16" s="303">
        <f>'Sources de financement'!L152</f>
        <v>0</v>
      </c>
      <c r="M16" s="244"/>
    </row>
    <row r="17" spans="1:13" s="11" customFormat="1" ht="24" customHeight="1" x14ac:dyDescent="0.35">
      <c r="A17" s="233" t="s">
        <v>366</v>
      </c>
      <c r="E17" s="234">
        <f>'Sources de financement'!E14+'Sources de financement'!E29+'Sources de financement'!E44+'Sources de financement'!E59+'Sources de financement'!E74+'Sources de financement'!E134+'Sources de financement'!E89+'Sources de financement'!E104</f>
        <v>0</v>
      </c>
      <c r="F17" s="234">
        <f>'Sources de financement'!F14+'Sources de financement'!F29+'Sources de financement'!F44+'Sources de financement'!F59+'Sources de financement'!F74+'Sources de financement'!F134+'Sources de financement'!F89+'Sources de financement'!F104</f>
        <v>0</v>
      </c>
      <c r="G17" s="234">
        <f>'Sources de financement'!G14+'Sources de financement'!G29+'Sources de financement'!G44+'Sources de financement'!G59+'Sources de financement'!G74+'Sources de financement'!G134+'Sources de financement'!G89+'Sources de financement'!G104</f>
        <v>0</v>
      </c>
      <c r="H17" s="234">
        <f>'Sources de financement'!H14+'Sources de financement'!H29+'Sources de financement'!H44+'Sources de financement'!H59+'Sources de financement'!H74+'Sources de financement'!H134+'Sources de financement'!H89+'Sources de financement'!H104</f>
        <v>0</v>
      </c>
      <c r="I17" s="234">
        <f>'Sources de financement'!I14+'Sources de financement'!I29+'Sources de financement'!I44+'Sources de financement'!I59+'Sources de financement'!I74+'Sources de financement'!I134+'Sources de financement'!I89+'Sources de financement'!I104</f>
        <v>0</v>
      </c>
      <c r="J17" s="234">
        <f>'Sources de financement'!J14+'Sources de financement'!J29+'Sources de financement'!J44+'Sources de financement'!J59+'Sources de financement'!J74+'Sources de financement'!J134+'Sources de financement'!J89+'Sources de financement'!J104</f>
        <v>0</v>
      </c>
      <c r="K17" s="234">
        <f>'Sources de financement'!K14+'Sources de financement'!K29+'Sources de financement'!K44+'Sources de financement'!K59+'Sources de financement'!K74+'Sources de financement'!K134+'Sources de financement'!K89+'Sources de financement'!K104</f>
        <v>0</v>
      </c>
      <c r="L17" s="304">
        <f>'Sources de financement'!L14+'Sources de financement'!L29+'Sources de financement'!L44+'Sources de financement'!L59+'Sources de financement'!L74+'Sources de financement'!L134+'Sources de financement'!L89+'Sources de financement'!L104</f>
        <v>0</v>
      </c>
      <c r="M17" s="244"/>
    </row>
    <row r="18" spans="1:13" s="11" customFormat="1" ht="15.5" x14ac:dyDescent="0.35">
      <c r="A18" s="230"/>
      <c r="B18" s="229"/>
      <c r="C18" s="229"/>
      <c r="D18" s="229"/>
      <c r="E18" s="232"/>
      <c r="F18" s="437"/>
      <c r="G18" s="437"/>
      <c r="H18" s="437"/>
      <c r="I18" s="437"/>
      <c r="J18" s="437"/>
      <c r="K18" s="445"/>
      <c r="L18" s="438"/>
      <c r="M18" s="379"/>
    </row>
    <row r="19" spans="1:13" s="11" customFormat="1" ht="15.5" x14ac:dyDescent="0.35">
      <c r="A19" s="634" t="s">
        <v>367</v>
      </c>
      <c r="B19" s="235"/>
      <c r="C19" s="235"/>
      <c r="D19" s="235"/>
      <c r="E19" s="449" t="str">
        <f t="shared" ref="E19:L19" si="4">IFERROR(E8/E14,"N/A")</f>
        <v>N/A</v>
      </c>
      <c r="F19" s="450" t="str">
        <f t="shared" si="4"/>
        <v>N/A</v>
      </c>
      <c r="G19" s="450" t="str">
        <f t="shared" si="4"/>
        <v>N/A</v>
      </c>
      <c r="H19" s="450" t="str">
        <f t="shared" si="4"/>
        <v>N/A</v>
      </c>
      <c r="I19" s="450" t="str">
        <f t="shared" si="4"/>
        <v>N/A</v>
      </c>
      <c r="J19" s="450" t="str">
        <f t="shared" si="4"/>
        <v>N/A</v>
      </c>
      <c r="K19" s="450" t="str">
        <f t="shared" si="4"/>
        <v>N/A</v>
      </c>
      <c r="L19" s="451" t="str">
        <f t="shared" si="4"/>
        <v>N/A</v>
      </c>
      <c r="M19" s="619"/>
    </row>
    <row r="20" spans="1:13" s="11" customFormat="1" ht="24" customHeight="1" x14ac:dyDescent="0.35">
      <c r="A20" s="227" t="s">
        <v>368</v>
      </c>
      <c r="E20" s="236">
        <f t="shared" ref="E20:L20" si="5">E22-E23</f>
        <v>0</v>
      </c>
      <c r="F20" s="452">
        <f t="shared" si="5"/>
        <v>0</v>
      </c>
      <c r="G20" s="452">
        <f t="shared" si="5"/>
        <v>0</v>
      </c>
      <c r="H20" s="452">
        <f t="shared" si="5"/>
        <v>0</v>
      </c>
      <c r="I20" s="452">
        <f t="shared" si="5"/>
        <v>0</v>
      </c>
      <c r="J20" s="452">
        <f t="shared" si="5"/>
        <v>0</v>
      </c>
      <c r="K20" s="452">
        <f t="shared" si="5"/>
        <v>0</v>
      </c>
      <c r="L20" s="453">
        <f t="shared" si="5"/>
        <v>0</v>
      </c>
      <c r="M20" s="242"/>
    </row>
    <row r="21" spans="1:13" s="11" customFormat="1" ht="24" customHeight="1" x14ac:dyDescent="0.35">
      <c r="A21" s="229" t="s">
        <v>369</v>
      </c>
      <c r="B21" s="230"/>
      <c r="C21" s="229"/>
      <c r="D21" s="229"/>
      <c r="E21" s="232">
        <f>E20</f>
        <v>0</v>
      </c>
      <c r="F21" s="437">
        <f t="shared" ref="F21:L21" si="6">F20+E21</f>
        <v>0</v>
      </c>
      <c r="G21" s="437">
        <f t="shared" si="6"/>
        <v>0</v>
      </c>
      <c r="H21" s="437">
        <f t="shared" si="6"/>
        <v>0</v>
      </c>
      <c r="I21" s="437">
        <f t="shared" si="6"/>
        <v>0</v>
      </c>
      <c r="J21" s="437">
        <f t="shared" si="6"/>
        <v>0</v>
      </c>
      <c r="K21" s="437">
        <f t="shared" si="6"/>
        <v>0</v>
      </c>
      <c r="L21" s="438">
        <f t="shared" si="6"/>
        <v>0</v>
      </c>
      <c r="M21" s="379"/>
    </row>
    <row r="22" spans="1:13" s="11" customFormat="1" ht="24" customHeight="1" x14ac:dyDescent="0.35">
      <c r="A22" s="233" t="s">
        <v>455</v>
      </c>
      <c r="E22" s="234">
        <f>'Sources de financement'!E169</f>
        <v>0</v>
      </c>
      <c r="F22" s="234">
        <f>'Sources de financement'!F169</f>
        <v>0</v>
      </c>
      <c r="G22" s="234">
        <f>'Sources de financement'!G169</f>
        <v>0</v>
      </c>
      <c r="H22" s="234">
        <f>'Sources de financement'!H169</f>
        <v>0</v>
      </c>
      <c r="I22" s="234">
        <f>'Sources de financement'!I169</f>
        <v>0</v>
      </c>
      <c r="J22" s="234">
        <f>'Sources de financement'!J169</f>
        <v>0</v>
      </c>
      <c r="K22" s="234">
        <f>'Sources de financement'!K169</f>
        <v>0</v>
      </c>
      <c r="L22" s="304">
        <f>'Sources de financement'!L169</f>
        <v>0</v>
      </c>
      <c r="M22" s="244"/>
    </row>
    <row r="23" spans="1:13" s="11" customFormat="1" ht="24" customHeight="1" x14ac:dyDescent="0.35">
      <c r="A23" s="233" t="s">
        <v>456</v>
      </c>
      <c r="E23" s="234">
        <f>'Sources de financement'!E175</f>
        <v>0</v>
      </c>
      <c r="F23" s="234">
        <f>'Sources de financement'!F175</f>
        <v>0</v>
      </c>
      <c r="G23" s="234">
        <f>'Sources de financement'!G175</f>
        <v>0</v>
      </c>
      <c r="H23" s="234">
        <f>'Sources de financement'!H175</f>
        <v>0</v>
      </c>
      <c r="I23" s="234">
        <f>'Sources de financement'!I175</f>
        <v>0</v>
      </c>
      <c r="J23" s="234">
        <f>'Sources de financement'!J175</f>
        <v>0</v>
      </c>
      <c r="K23" s="234">
        <f>'Sources de financement'!K175</f>
        <v>0</v>
      </c>
      <c r="L23" s="304">
        <f>'Sources de financement'!L175</f>
        <v>0</v>
      </c>
      <c r="M23" s="244"/>
    </row>
    <row r="24" spans="1:13" s="11" customFormat="1" ht="15.5" x14ac:dyDescent="0.35">
      <c r="A24" s="230"/>
      <c r="B24" s="229"/>
      <c r="C24" s="229"/>
      <c r="D24" s="229"/>
      <c r="E24" s="232"/>
      <c r="F24" s="437"/>
      <c r="G24" s="437"/>
      <c r="H24" s="437"/>
      <c r="I24" s="437"/>
      <c r="J24" s="437"/>
      <c r="K24" s="445"/>
      <c r="L24" s="438"/>
      <c r="M24" s="379"/>
    </row>
    <row r="25" spans="1:13" s="11" customFormat="1" ht="24" hidden="1" customHeight="1" x14ac:dyDescent="0.35">
      <c r="A25" s="575" t="s">
        <v>454</v>
      </c>
      <c r="B25" s="576"/>
      <c r="C25" s="302"/>
      <c r="D25" s="302"/>
      <c r="E25" s="577">
        <f>E10-E23</f>
        <v>0</v>
      </c>
      <c r="F25" s="577">
        <f t="shared" ref="F25:L25" si="7">F10-F23</f>
        <v>0</v>
      </c>
      <c r="G25" s="577">
        <f t="shared" si="7"/>
        <v>0</v>
      </c>
      <c r="H25" s="577">
        <f t="shared" si="7"/>
        <v>0</v>
      </c>
      <c r="I25" s="577">
        <f t="shared" si="7"/>
        <v>0</v>
      </c>
      <c r="J25" s="577">
        <f t="shared" si="7"/>
        <v>0</v>
      </c>
      <c r="K25" s="577">
        <f t="shared" si="7"/>
        <v>0</v>
      </c>
      <c r="L25" s="652">
        <f t="shared" si="7"/>
        <v>0</v>
      </c>
      <c r="M25" s="244"/>
    </row>
    <row r="26" spans="1:13" s="11" customFormat="1" ht="24" customHeight="1" x14ac:dyDescent="0.35">
      <c r="A26" s="578" t="s">
        <v>370</v>
      </c>
      <c r="B26" s="579"/>
      <c r="C26" s="227"/>
      <c r="D26" s="227"/>
      <c r="E26" s="236">
        <f t="shared" ref="E26:L26" si="8">E20+E14+E8</f>
        <v>0</v>
      </c>
      <c r="F26" s="452">
        <f t="shared" si="8"/>
        <v>0</v>
      </c>
      <c r="G26" s="452">
        <f t="shared" si="8"/>
        <v>0</v>
      </c>
      <c r="H26" s="452">
        <f t="shared" si="8"/>
        <v>0</v>
      </c>
      <c r="I26" s="452">
        <f t="shared" si="8"/>
        <v>0</v>
      </c>
      <c r="J26" s="452">
        <f t="shared" si="8"/>
        <v>0</v>
      </c>
      <c r="K26" s="452">
        <f t="shared" si="8"/>
        <v>0</v>
      </c>
      <c r="L26" s="453">
        <f t="shared" si="8"/>
        <v>0</v>
      </c>
      <c r="M26" s="242"/>
    </row>
    <row r="27" spans="1:13" s="11" customFormat="1" ht="24" customHeight="1" thickBot="1" x14ac:dyDescent="0.4">
      <c r="A27" s="237" t="s">
        <v>371</v>
      </c>
      <c r="B27" s="238"/>
      <c r="C27" s="239"/>
      <c r="D27" s="239"/>
      <c r="E27" s="240">
        <f>E26</f>
        <v>0</v>
      </c>
      <c r="F27" s="454">
        <f>F26+E27</f>
        <v>0</v>
      </c>
      <c r="G27" s="454">
        <f t="shared" ref="G27:L27" si="9">F27+G26</f>
        <v>0</v>
      </c>
      <c r="H27" s="454">
        <f t="shared" si="9"/>
        <v>0</v>
      </c>
      <c r="I27" s="454">
        <f t="shared" si="9"/>
        <v>0</v>
      </c>
      <c r="J27" s="454">
        <f t="shared" si="9"/>
        <v>0</v>
      </c>
      <c r="K27" s="454">
        <f t="shared" si="9"/>
        <v>0</v>
      </c>
      <c r="L27" s="455">
        <f t="shared" si="9"/>
        <v>0</v>
      </c>
      <c r="M27" s="244"/>
    </row>
    <row r="28" spans="1:13" ht="14.5" thickTop="1" x14ac:dyDescent="0.3"/>
  </sheetData>
  <mergeCells count="1">
    <mergeCell ref="A4:L4"/>
  </mergeCells>
  <conditionalFormatting sqref="E25:M27">
    <cfRule type="cellIs" dxfId="0" priority="1" operator="lessThan">
      <formula>0</formula>
    </cfRule>
  </conditionalFormatting>
  <pageMargins left="0.7" right="0.7" top="0.78740157499999996" bottom="0.78740157499999996" header="0.3" footer="0.3"/>
  <ignoredErrors>
    <ignoredError sqref="E7:L27"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7"/>
  <sheetViews>
    <sheetView zoomScaleNormal="100" workbookViewId="0">
      <selection activeCell="L8" sqref="L8"/>
    </sheetView>
  </sheetViews>
  <sheetFormatPr baseColWidth="10" defaultRowHeight="14" x14ac:dyDescent="0.3"/>
  <cols>
    <col min="4" max="4" width="22.58203125" customWidth="1"/>
  </cols>
  <sheetData>
    <row r="1" spans="1:22" ht="20" x14ac:dyDescent="0.3">
      <c r="A1" s="367" t="s">
        <v>444</v>
      </c>
      <c r="B1" s="213"/>
      <c r="C1" s="213"/>
      <c r="D1" s="213"/>
      <c r="E1" s="213"/>
      <c r="F1" s="213"/>
      <c r="G1" s="213"/>
      <c r="H1" s="213"/>
      <c r="I1" s="213"/>
      <c r="J1" s="213"/>
      <c r="K1" s="213"/>
      <c r="L1" s="213"/>
      <c r="M1" s="213"/>
      <c r="N1" s="213"/>
      <c r="O1" s="213"/>
      <c r="P1" s="214"/>
      <c r="Q1" s="213"/>
      <c r="R1" s="213"/>
      <c r="S1" s="213"/>
      <c r="T1" s="213"/>
      <c r="U1" s="213"/>
      <c r="V1" s="213"/>
    </row>
    <row r="2" spans="1:22" ht="18" x14ac:dyDescent="0.3">
      <c r="A2" s="480" t="s">
        <v>281</v>
      </c>
      <c r="B2" s="557"/>
      <c r="C2" s="557"/>
      <c r="D2" s="557"/>
      <c r="E2" s="557"/>
      <c r="F2" s="557"/>
      <c r="G2" s="557"/>
      <c r="H2" s="557"/>
      <c r="I2" s="557"/>
      <c r="J2" s="558"/>
      <c r="K2" s="557"/>
      <c r="L2" s="557"/>
      <c r="M2" s="557"/>
      <c r="N2" s="557"/>
      <c r="O2" s="557"/>
      <c r="P2" s="557"/>
      <c r="Q2" s="557"/>
      <c r="R2" s="557"/>
      <c r="S2" s="557"/>
      <c r="T2" s="557"/>
      <c r="U2" s="557"/>
      <c r="V2" s="557"/>
    </row>
    <row r="3" spans="1:22" ht="103" customHeight="1" x14ac:dyDescent="0.3">
      <c r="A3" s="719" t="s">
        <v>472</v>
      </c>
      <c r="B3" s="720"/>
      <c r="C3" s="720"/>
      <c r="D3" s="720"/>
      <c r="E3" s="720"/>
      <c r="F3" s="720"/>
      <c r="G3" s="720"/>
      <c r="H3" s="720"/>
      <c r="I3" s="720"/>
      <c r="J3" s="720"/>
      <c r="K3" s="720"/>
      <c r="L3" s="720"/>
      <c r="M3" s="720"/>
      <c r="N3" s="720"/>
      <c r="O3" s="720"/>
      <c r="P3" s="720"/>
    </row>
    <row r="4" spans="1:22" ht="31" x14ac:dyDescent="0.3">
      <c r="A4" s="418" t="s">
        <v>445</v>
      </c>
      <c r="B4" s="418" t="s">
        <v>446</v>
      </c>
      <c r="C4" s="418" t="s">
        <v>278</v>
      </c>
      <c r="D4" s="418" t="s">
        <v>316</v>
      </c>
      <c r="E4" s="418" t="s">
        <v>317</v>
      </c>
      <c r="F4" s="419" t="s">
        <v>318</v>
      </c>
      <c r="G4" s="580" t="s">
        <v>459</v>
      </c>
      <c r="H4" s="421" t="s">
        <v>319</v>
      </c>
      <c r="I4" s="420" t="s">
        <v>320</v>
      </c>
      <c r="J4" s="421" t="s">
        <v>321</v>
      </c>
      <c r="K4" s="420" t="s">
        <v>322</v>
      </c>
      <c r="L4" s="421" t="s">
        <v>323</v>
      </c>
      <c r="M4" s="420" t="s">
        <v>324</v>
      </c>
    </row>
    <row r="5" spans="1:22" ht="15.5" x14ac:dyDescent="0.35">
      <c r="A5" s="423" t="str">
        <f>IF('Vue d''ensemble'!$B$2="","",'Vue d''ensemble'!B2)</f>
        <v/>
      </c>
      <c r="B5" s="559" t="str">
        <f>IF('Vue d''ensemble'!$B$3="sélectionner","",'Vue d''ensemble'!$B$3)</f>
        <v/>
      </c>
      <c r="C5" s="559" t="str">
        <f>IF('Vue d''ensemble'!$B$4="sélectionner","",'Vue d''ensemble'!$B$4)</f>
        <v/>
      </c>
      <c r="D5" s="422" t="s">
        <v>436</v>
      </c>
      <c r="E5" s="608" t="s">
        <v>315</v>
      </c>
      <c r="F5" s="607" t="str">
        <f>IF('Vue d''ensemble'!$D$2="","",'Vue d''ensemble'!$D$2)</f>
        <v/>
      </c>
      <c r="G5" s="605">
        <f>'Compte de résultats'!C9</f>
        <v>0</v>
      </c>
      <c r="H5" s="424">
        <f>'Compte de résultats'!E9</f>
        <v>0</v>
      </c>
      <c r="I5" s="425"/>
      <c r="J5" s="424">
        <f>'Compte de résultats'!G9</f>
        <v>0</v>
      </c>
      <c r="K5" s="425"/>
      <c r="L5" s="424">
        <f>'Compte de résultats'!I9</f>
        <v>0</v>
      </c>
      <c r="M5" s="425"/>
      <c r="N5" s="560" t="s">
        <v>447</v>
      </c>
    </row>
    <row r="6" spans="1:22" ht="31" x14ac:dyDescent="0.35">
      <c r="A6" s="597"/>
      <c r="B6" s="559" t="str">
        <f>IF('Vue d''ensemble'!$B$3="sélectionner","",'Vue d''ensemble'!$B$3)</f>
        <v/>
      </c>
      <c r="C6" s="559" t="str">
        <f>IF('Vue d''ensemble'!$B$4="sélectionner","",'Vue d''ensemble'!$B$4)</f>
        <v/>
      </c>
      <c r="D6" s="428" t="str">
        <f>IF(AND('Vue d''ensemble'!$B$6="Branche de production",OR('Vue d''ensemble'!$B$3="Commercialisation",'Vue d''ensemble'!$B$3="Transformation")),'Dropdown input'!M51,IF(AND('Vue d''ensemble'!$B$6="Branche de production",OR('Vue d''ensemble'!$B$3="Création_et_développement_d’activités_dans_l’exploitation_agricole",'Vue d''ensemble'!$B$3="Production",'Vue d''ensemble'!$B$3="Autres")),'Dropdown input'!J51,IF(AND('Vue d''ensemble'!$B$6="Exploitation",OR('Vue d''ensemble'!$B$3="Commercialisation",'Vue d''ensemble'!$B$3="Transformation")),'Dropdown input'!G51,'Dropdown input'!D51)))</f>
        <v>Pourcentage en équivalents temps plein</v>
      </c>
      <c r="E6" s="549" t="str">
        <f>IF(AND('Vue d''ensemble'!$B$6="Branche de production",OR('Vue d''ensemble'!$B$3="Commercialisation",'Vue d''ensemble'!$B$3="Transformation")),'Dropdown input'!N51,IF(AND('Vue d''ensemble'!$B$6="Branche de production",OR('Vue d''ensemble'!$B$3="Création_et_développement_d’activités_dans_l’exploitation_agricole",'Vue d''ensemble'!$B$3="Production",'Vue d''ensemble'!$B$3="Autres")),'Dropdown input'!K51,IF(AND('Vue d''ensemble'!$B$6="Exploitation",OR('Vue d''ensemble'!$B$3="Commercialisation",'Vue d''ensemble'!$B$3="Transformation")),'Dropdown input'!H51,'Dropdown input'!E51)))</f>
        <v>% en décimales</v>
      </c>
      <c r="F6" s="607" t="str">
        <f>IF('Vue d''ensemble'!$D$2="","",'Vue d''ensemble'!$D$2)</f>
        <v/>
      </c>
      <c r="G6" s="606"/>
      <c r="H6" s="429"/>
      <c r="I6" s="430"/>
      <c r="J6" s="429"/>
      <c r="K6" s="430"/>
      <c r="L6" s="429"/>
      <c r="M6" s="430"/>
      <c r="N6" s="560" t="s">
        <v>447</v>
      </c>
    </row>
    <row r="7" spans="1:22" ht="15.5" x14ac:dyDescent="0.35">
      <c r="A7" s="598"/>
      <c r="B7" s="559" t="str">
        <f>IF('Vue d''ensemble'!$B$3="sélectionner","",'Vue d''ensemble'!$B$3)</f>
        <v/>
      </c>
      <c r="C7" s="559" t="str">
        <f>IF('Vue d''ensemble'!$B$4="sélectionner","",'Vue d''ensemble'!$B$4)</f>
        <v/>
      </c>
      <c r="D7" s="428" t="str">
        <f>IF(AND('Vue d''ensemble'!$B$6="Branche de production",OR('Vue d''ensemble'!$B$3="Commercialisation",'Vue d''ensemble'!$B$3="Transformation")),'Dropdown input'!M52,IF(AND('Vue d''ensemble'!$B$6="Branche de production",OR('Vue d''ensemble'!$B$3="Création_et_développement_d’activités_dans_l’exploitation_agricole",'Vue d''ensemble'!$B$3="Production",'Vue d''ensemble'!$B$3="Autres")),'Dropdown input'!J52,IF(AND('Vue d''ensemble'!$B$6="Exploitation",OR('Vue d''ensemble'!$B$3="Commercialisation",'Vue d''ensemble'!$B$3="Transformation")),'Dropdown input'!G52,'Dropdown input'!D52)))</f>
        <v>EBITDA</v>
      </c>
      <c r="E7" s="549" t="str">
        <f>IF(AND('Vue d''ensemble'!$B$6="Branche de production",OR('Vue d''ensemble'!$B$3="Commercialisation",'Vue d''ensemble'!$B$3="Transformation")),'Dropdown input'!N52,IF(AND('Vue d''ensemble'!$B$6="Branche de production",OR('Vue d''ensemble'!$B$3="Création_et_développement_d’activités_dans_l’exploitation_agricole",'Vue d''ensemble'!$B$3="Production",'Vue d''ensemble'!$B$3="Autres")),'Dropdown input'!K52,IF(AND('Vue d''ensemble'!$B$6="Exploitation",OR('Vue d''ensemble'!$B$3="Commercialisation",'Vue d''ensemble'!$B$3="Transformation")),'Dropdown input'!H52,'Dropdown input'!E52)))</f>
        <v>CHF</v>
      </c>
      <c r="F7" s="607" t="str">
        <f>IF('Vue d''ensemble'!$D$2="","",'Vue d''ensemble'!$D$2)</f>
        <v/>
      </c>
      <c r="G7" s="606">
        <f>IF('Vue d''ensemble'!$B$6="Exploitation",'Compte de résultats'!C43,'Compte de résultats'!L10)</f>
        <v>0</v>
      </c>
      <c r="H7" s="429" t="str">
        <f>IF('Vue d''ensemble'!$B$6="Exploitation",'Compte de résultats'!E43,"")</f>
        <v/>
      </c>
      <c r="I7" s="430"/>
      <c r="J7" s="429" t="str">
        <f>IF('Vue d''ensemble'!$B$6="Exploitation",'Compte de résultats'!G43,"")</f>
        <v/>
      </c>
      <c r="K7" s="430"/>
      <c r="L7" s="429">
        <f>IF('Vue d''ensemble'!$B$6="Exploitation",'Compte de résultats'!I43,'Compte de résultats'!M10)</f>
        <v>0</v>
      </c>
      <c r="M7" s="430"/>
      <c r="N7" s="560" t="str">
        <f>IF(D7="EBITDA","remplir pour toutes les années","remplir seulement 'n' et 'n+6' ")</f>
        <v>remplir pour toutes les années</v>
      </c>
    </row>
    <row r="8" spans="1:22" ht="15.5" x14ac:dyDescent="0.35">
      <c r="A8" s="597"/>
      <c r="B8" s="559" t="str">
        <f>IF('Vue d''ensemble'!$B$3="sélectionner","",'Vue d''ensemble'!$B$3)</f>
        <v/>
      </c>
      <c r="C8" s="559" t="str">
        <f>IF('Vue d''ensemble'!$B$4="sélectionner","",'Vue d''ensemble'!$B$4)</f>
        <v/>
      </c>
      <c r="D8" s="422" t="str">
        <f>IF(AND('Vue d''ensemble'!$B$6="Branche de production",OR('Vue d''ensemble'!$B$3="Commercialisation",'Vue d''ensemble'!$B$3="Transformation")),'Dropdown input'!M53,IF(AND('Vue d''ensemble'!$B$6="Branche de production",OR('Vue d''ensemble'!$B$3="Création_et_développement_d’activités_dans_l’exploitation_agricole",'Vue d''ensemble'!$B$3="Production",'Vue d''ensemble'!$B$3="Autres")),'Dropdown input'!J53,IF(AND('Vue d''ensemble'!$B$6="Exploitation",OR('Vue d''ensemble'!$B$3="Commercialisation",'Vue d''ensemble'!$B$3="Transformation")),'Dropdown input'!G53,'Dropdown input'!D53)))</f>
        <v>Facteur d'endettement</v>
      </c>
      <c r="E8" s="549" t="str">
        <f>IF(AND('Vue d''ensemble'!$B$6="Branche de production",OR('Vue d''ensemble'!$B$3="Commercialisation",'Vue d''ensemble'!$B$3="Transformation")),'Dropdown input'!N53,IF(AND('Vue d''ensemble'!$B$6="Branche de production",OR('Vue d''ensemble'!$B$3="Création_et_développement_d’activités_dans_l’exploitation_agricole",'Vue d''ensemble'!$B$3="Production",'Vue d''ensemble'!$B$3="Autres")),'Dropdown input'!K53,IF(AND('Vue d''ensemble'!$B$6="Exploitation",OR('Vue d''ensemble'!$B$3="Commercialisation",'Vue d''ensemble'!$B$3="Transformation")),'Dropdown input'!H53,'Dropdown input'!E53)))</f>
        <v>années</v>
      </c>
      <c r="F8" s="607" t="str">
        <f>IF('Vue d''ensemble'!$D$2="","",'Vue d''ensemble'!$D$2)</f>
        <v/>
      </c>
      <c r="G8" s="606">
        <f>IF('Vue d''ensemble'!$B$6="Exploitation",'Sources de financement'!E170,'Compte de résultats'!N10)</f>
        <v>0</v>
      </c>
      <c r="H8" s="429" t="str">
        <f>IF('Vue d''ensemble'!$B$6="Exploitation",'Sources de financement'!F170,"")</f>
        <v/>
      </c>
      <c r="I8" s="430"/>
      <c r="J8" s="429" t="str">
        <f>IF('Vue d''ensemble'!$B$6="Exploitation",'Sources de financement'!I170,"")</f>
        <v/>
      </c>
      <c r="K8" s="430"/>
      <c r="L8" s="429">
        <f>IF('Vue d''ensemble'!$B$6="Exploitation",'Sources de financement'!K170,'Compte de résultats'!O10)</f>
        <v>0</v>
      </c>
      <c r="M8" s="430"/>
      <c r="N8" s="560" t="str">
        <f>IF(D8="Facteur d'endettement","remplir pour toutes les années","remplir seulement 'n' et 'n+6' ")</f>
        <v>remplir pour toutes les années</v>
      </c>
    </row>
    <row r="9" spans="1:22" ht="15.5" x14ac:dyDescent="0.35">
      <c r="A9" s="598"/>
      <c r="B9" s="559" t="str">
        <f>IF('Vue d''ensemble'!$B$3="sélectionner","",'Vue d''ensemble'!$B$3)</f>
        <v/>
      </c>
      <c r="C9" s="559" t="str">
        <f>IF('Vue d''ensemble'!$B$4="sélectionner","",'Vue d''ensemble'!$B$4)</f>
        <v/>
      </c>
      <c r="D9" s="428" t="str">
        <f>IF(AND('Vue d''ensemble'!$B$6="Branche de production",OR('Vue d''ensemble'!$B$3="Commercialisation",'Vue d''ensemble'!$B$3="Transformation")),'Dropdown input'!M54,IF(AND('Vue d''ensemble'!$B$6="Branche de production",OR('Vue d''ensemble'!$B$3="Création_et_développement_d’activités_dans_l’exploitation_agricole",'Vue d''ensemble'!$B$3="Production",'Vue d''ensemble'!$B$3="Autres")),'Dropdown input'!J54,IF(AND('Vue d''ensemble'!$B$6="Exploitation",OR('Vue d''ensemble'!$B$3="Commercialisation",'Vue d''ensemble'!$B$3="Transformation")),'Dropdown input'!G54,'Dropdown input'!D54)))</f>
        <v/>
      </c>
      <c r="E9" s="549" t="str">
        <f>IF(AND('Vue d''ensemble'!$B$6="Branche de production",OR('Vue d''ensemble'!$B$3="Commercialisation",'Vue d''ensemble'!$B$3="Transformation")),'Dropdown input'!N54,IF(AND('Vue d''ensemble'!$B$6="Branche de production",OR('Vue d''ensemble'!$B$3="Création_et_développement_d’activités_dans_l’exploitation_agricole",'Vue d''ensemble'!$B$3="Production",'Vue d''ensemble'!$B$3="Autres")),'Dropdown input'!K54,IF(AND('Vue d''ensemble'!$B$6="Exploitation",OR('Vue d''ensemble'!$B$3="Commercialisation",'Vue d''ensemble'!$B$3="Transformation")),'Dropdown input'!H54,'Dropdown input'!E54)))</f>
        <v/>
      </c>
      <c r="F9" s="607" t="str">
        <f>IF('Vue d''ensemble'!$D$2="","",'Vue d''ensemble'!$D$2)</f>
        <v/>
      </c>
      <c r="G9" s="606">
        <f>IF('Vue d''ensemble'!$B$6="Exploitation",'Compte de résultats'!L10,IF(OR('Vue d''ensemble'!$B$3="Commercialisation",'Vue d''ensemble'!$B$3="Transformation"),'Compte de résultats'!L20,'Compte de résultats'!L11))</f>
        <v>0</v>
      </c>
      <c r="H9" s="429"/>
      <c r="I9" s="430"/>
      <c r="J9" s="429"/>
      <c r="K9" s="430"/>
      <c r="L9" s="429">
        <f>IF('Vue d''ensemble'!$B$6="Exploitation",'Compte de résultats'!M10,IF(OR('Vue d''ensemble'!$B$3="Commercialisation",'Vue d''ensemble'!$B$3="Transformation"),'Compte de résultats'!M20,'Compte de résultats'!M11))</f>
        <v>0</v>
      </c>
      <c r="M9" s="430"/>
      <c r="N9" s="560" t="str">
        <f>IF(D9="","","remplir seulement 'n' et 'n+6' ")</f>
        <v/>
      </c>
    </row>
    <row r="10" spans="1:22" ht="15.5" x14ac:dyDescent="0.35">
      <c r="A10" s="597"/>
      <c r="B10" s="559" t="str">
        <f>IF('Vue d''ensemble'!$B$3="sélectionner","",'Vue d''ensemble'!$B$3)</f>
        <v/>
      </c>
      <c r="C10" s="559" t="str">
        <f>IF('Vue d''ensemble'!$B$4="sélectionner","",'Vue d''ensemble'!$B$4)</f>
        <v/>
      </c>
      <c r="D10" s="428" t="str">
        <f>IF(AND('Vue d''ensemble'!$B$6="Branche de production",OR('Vue d''ensemble'!$B$3="Commercialisation",'Vue d''ensemble'!$B$3="Transformation")),'Dropdown input'!M55,IF(AND('Vue d''ensemble'!$B$6="Branche de production",OR('Vue d''ensemble'!$B$3="Création_et_développement_d’activités_dans_l’exploitation_agricole",'Vue d''ensemble'!$B$3="Production",'Vue d''ensemble'!$B$3="Autres")),'Dropdown input'!J55,IF(AND('Vue d''ensemble'!$B$6="Exploitation",OR('Vue d''ensemble'!$B$3="Commercialisation",'Vue d''ensemble'!$B$3="Transformation")),'Dropdown input'!G55,'Dropdown input'!D55)))</f>
        <v/>
      </c>
      <c r="E10" s="549" t="str">
        <f>IF(AND('Vue d''ensemble'!$B$8="Branche de production",OR('Vue d''ensemble'!$B$3="Commercialisation",'Vue d''ensemble'!$B$3="Transformation")),'Dropdown input'!N55,IF(AND('Vue d''ensemble'!$B$8="Branche de production",OR('Vue d''ensemble'!$B$3="Création_et_développement_d’activités_dans_l’exploitation_agricole",'Vue d''ensemble'!$B$3="Production",'Vue d''ensemble'!$B$3="Autres")),'Dropdown input'!K55,IF(AND('Vue d''ensemble'!$B$8="Exploitation",OR('Vue d''ensemble'!$B$3="Commercialisation",'Vue d''ensemble'!$B$3="Transformation")),'Dropdown input'!H55,'Dropdown input'!E55)))</f>
        <v/>
      </c>
      <c r="F10" s="607" t="str">
        <f>IF('Vue d''ensemble'!$D$2="","",'Vue d''ensemble'!$D$2)</f>
        <v/>
      </c>
      <c r="G10" s="606">
        <f>IF('Vue d''ensemble'!$B$6="Exploitation",'Compte de résultats'!N10,IF(OR('Vue d''ensemble'!$B$3="Commercialisation",'Vue d''ensemble'!$B$3="Transformation"),'Compte de résultats'!L11,'Compte de résultats'!N11))</f>
        <v>0</v>
      </c>
      <c r="H10" s="429"/>
      <c r="I10" s="430"/>
      <c r="J10" s="429"/>
      <c r="K10" s="430"/>
      <c r="L10" s="429">
        <f>IF('Vue d''ensemble'!$B$6="Exploitation",'Compte de résultats'!O10,IF(OR('Vue d''ensemble'!$B$3="Commercialisation",'Vue d''ensemble'!$B$3="Transformation"),'Compte de résultats'!M11,'Compte de résultats'!O11))</f>
        <v>0</v>
      </c>
      <c r="M10" s="430"/>
      <c r="N10" s="560" t="str">
        <f t="shared" ref="N10:N17" si="0">IF(D10="","","remplir seulement 'n' et 'n+6' ")</f>
        <v/>
      </c>
    </row>
    <row r="11" spans="1:22" ht="15.5" x14ac:dyDescent="0.35">
      <c r="A11" s="598"/>
      <c r="B11" s="559" t="str">
        <f>IF('Vue d''ensemble'!$B$3="sélectionner","",'Vue d''ensemble'!$B$3)</f>
        <v/>
      </c>
      <c r="C11" s="559" t="str">
        <f>IF('Vue d''ensemble'!$B$4="sélectionner","",'Vue d''ensemble'!$B$4)</f>
        <v/>
      </c>
      <c r="D11" s="422" t="str">
        <f>IF(AND('Vue d''ensemble'!$B$6="Branche de production",OR('Vue d''ensemble'!$B$3="Commercialisation",'Vue d''ensemble'!$B$3="Transformation")),'Dropdown input'!M56,IF(AND('Vue d''ensemble'!$B$6="Branche de production",OR('Vue d''ensemble'!$B$3="Création_et_développement_d’activités_dans_l’exploitation_agricole",'Vue d''ensemble'!$B$3="Production",'Vue d''ensemble'!$B$3="Autres")),'Dropdown input'!J56,IF(AND('Vue d''ensemble'!$B$6="Exploitation",OR('Vue d''ensemble'!$B$3="Commercialisation",'Vue d''ensemble'!$B$3="Transformation")),'Dropdown input'!G56,'Dropdown input'!D56)))</f>
        <v/>
      </c>
      <c r="E11" s="549" t="str">
        <f>IF(AND('Vue d''ensemble'!$B$6="Branche de production",OR('Vue d''ensemble'!$B$3="Commercialisation",'Vue d''ensemble'!$B$3="Transformation")),'Dropdown input'!N56,IF(AND('Vue d''ensemble'!$B$6="Branche de production",OR('Vue d''ensemble'!$B$3="Création_et_développement_d’activités_dans_l’exploitation_agricole",'Vue d''ensemble'!$B$3="Production",'Vue d''ensemble'!$B$3="Autres")),'Dropdown input'!K56,IF(AND('Vue d''ensemble'!$B$6="Exploitation",OR('Vue d''ensemble'!$B$3="Commercialisation",'Vue d''ensemble'!$B$3="Transformation")),'Dropdown input'!H56,'Dropdown input'!E56)))</f>
        <v/>
      </c>
      <c r="F11" s="607" t="str">
        <f>IF('Vue d''ensemble'!$D$2="","",'Vue d''ensemble'!$D$2)</f>
        <v/>
      </c>
      <c r="G11" s="606">
        <f>IF(AND('Vue d''ensemble'!$B$6="Exploitation",'Vue d''ensemble'!$B$3="Production"),'Compte de résultats'!L11,IF(AND('Vue d''ensemble'!$B$6="Exploitation",OR('Vue d''ensemble'!$B$3="Commercialisation",'Vue d''ensemble'!$B$3="Transformation")),'Compte de résultats'!L20,IF(AND('Vue d''ensemble'!$B$6="Branche de production",OR('Vue d''ensemble'!$B$3="Commercialisation",'Vue d''ensemble'!$B$3="Transformation")),'Compte de résultats'!N11,'Compte de résultats'!L12)))</f>
        <v>0</v>
      </c>
      <c r="H11" s="429"/>
      <c r="I11" s="430"/>
      <c r="J11" s="429"/>
      <c r="K11" s="430"/>
      <c r="L11" s="429">
        <f>IF(AND('Vue d''ensemble'!$B$6="Exploitation",'Vue d''ensemble'!$B$3="Production"),'Compte de résultats'!M11,IF(AND('Vue d''ensemble'!$B$6="Exploitation",OR('Vue d''ensemble'!$B$3="Commercialisation",'Vue d''ensemble'!$B$3="Transformation")),'Compte de résultats'!M20,IF(AND('Vue d''ensemble'!$B$6="Branche de production",OR('Vue d''ensemble'!$B$3="Commercialisation",'Vue d''ensemble'!$B$3="Transformation")),'Compte de résultats'!O11,'Compte de résultats'!M12)))</f>
        <v>0</v>
      </c>
      <c r="M11" s="430"/>
      <c r="N11" s="560" t="str">
        <f t="shared" si="0"/>
        <v/>
      </c>
    </row>
    <row r="12" spans="1:22" ht="15.5" x14ac:dyDescent="0.35">
      <c r="A12" s="597"/>
      <c r="B12" s="559" t="str">
        <f>IF('Vue d''ensemble'!$B$3="sélectionner","",'Vue d''ensemble'!$B$3)</f>
        <v/>
      </c>
      <c r="C12" s="559" t="str">
        <f>IF('Vue d''ensemble'!$B$4="sélectionner","",'Vue d''ensemble'!$B$4)</f>
        <v/>
      </c>
      <c r="D12" s="428" t="str">
        <f>IF(AND('Vue d''ensemble'!$B$6="Branche de production",OR('Vue d''ensemble'!$B$3="Commercialisation",'Vue d''ensemble'!$B$3="Transformation")),'Dropdown input'!M57,IF(AND('Vue d''ensemble'!$B$6="Branche de production",OR('Vue d''ensemble'!$B$3="Création_et_développement_d’activités_dans_l’exploitation_agricole",'Vue d''ensemble'!$B$3="Production",'Vue d''ensemble'!$B$3="Autres")),'Dropdown input'!J57,IF(AND('Vue d''ensemble'!$B$6="Exploitation",OR('Vue d''ensemble'!$B$3="Commercialisation",'Vue d''ensemble'!$B$3="Transformation")),'Dropdown input'!G57,'Dropdown input'!D57)))</f>
        <v/>
      </c>
      <c r="E12" s="549" t="str">
        <f>IF(AND('Vue d''ensemble'!$B$6="Branche de production",OR('Vue d''ensemble'!$B$3="Commercialisation",'Vue d''ensemble'!$B$3="Transformation")),'Dropdown input'!N57,IF(AND('Vue d''ensemble'!$B$6="Branche de production",OR('Vue d''ensemble'!$B$3="Création_et_développement_d’activités_dans_l’exploitation_agricole",'Vue d''ensemble'!$B$3="Production",'Vue d''ensemble'!$B$3="Autres")),'Dropdown input'!K57,IF(AND('Vue d''ensemble'!$B$6="Exploitation",OR('Vue d''ensemble'!$B$3="Commercialisation",'Vue d''ensemble'!$B$3="Transformation")),'Dropdown input'!H57,'Dropdown input'!E57)))</f>
        <v/>
      </c>
      <c r="F12" s="607" t="str">
        <f>IF('Vue d''ensemble'!$D$2="","",'Vue d''ensemble'!$D$2)</f>
        <v/>
      </c>
      <c r="G12" s="606">
        <f>IF(AND('Vue d''ensemble'!$B$6="Exploitation",'Vue d''ensemble'!$B$3="Production"),'Compte de résultats'!N11,IF(AND('Vue d''ensemble'!$B$6="Exploitation",OR('Vue d''ensemble'!$B$3="Commercialisation",'Vue d''ensemble'!$B$3="Transformation")),'Compte de résultats'!L11,IF(AND('Vue d''ensemble'!$B$6="Branche de production",OR('Vue d''ensemble'!$B$3="Commercialisation",'Vue d''ensemble'!$B$3="Transformation")),'Compte de résultats'!L21,'Compte de résultats'!N12)))</f>
        <v>0</v>
      </c>
      <c r="H12" s="429"/>
      <c r="I12" s="430"/>
      <c r="J12" s="429"/>
      <c r="K12" s="430"/>
      <c r="L12" s="429">
        <f>IF(AND('Vue d''ensemble'!$B$6="Exploitation",'Vue d''ensemble'!$B$3="Production"),'Compte de résultats'!O11,IF(AND('Vue d''ensemble'!$B$6="Exploitation",OR('Vue d''ensemble'!$B$3="Commercialisation",'Vue d''ensemble'!$B$3="Transformation")),'Compte de résultats'!M11,IF(AND('Vue d''ensemble'!$B$6="Branche de production",OR('Vue d''ensemble'!$B$3="Commercialisation",'Vue d''ensemble'!$B$3="Transformation")),'Compte de résultats'!M21,'Compte de résultats'!O12)))</f>
        <v>0</v>
      </c>
      <c r="M12" s="430"/>
      <c r="N12" s="560" t="str">
        <f t="shared" si="0"/>
        <v/>
      </c>
    </row>
    <row r="13" spans="1:22" ht="15.5" x14ac:dyDescent="0.35">
      <c r="A13" s="598"/>
      <c r="B13" s="559" t="str">
        <f>IF('Vue d''ensemble'!$B$3="sélectionner","",'Vue d''ensemble'!$B$3)</f>
        <v/>
      </c>
      <c r="C13" s="559" t="str">
        <f>IF('Vue d''ensemble'!$B$4="sélectionner","",'Vue d''ensemble'!$B$4)</f>
        <v/>
      </c>
      <c r="D13" s="428" t="str">
        <f>IF(AND('Vue d''ensemble'!$B$6="Branche de production",OR('Vue d''ensemble'!$B$3="Commercialisation",'Vue d''ensemble'!$B$3="Transformation")),'Dropdown input'!M58,IF(AND('Vue d''ensemble'!$B$6="Branche de production",OR('Vue d''ensemble'!$B$3="Création_et_développement_d’activités_dans_l’exploitation_agricole",'Vue d''ensemble'!$B$3="Production",'Vue d''ensemble'!$B$3="Autres")),'Dropdown input'!J58,IF(AND('Vue d''ensemble'!$B$6="Exploitation",OR('Vue d''ensemble'!$B$3="Commercialisation",'Vue d''ensemble'!$B$3="Transformation")),'Dropdown input'!G58,'Dropdown input'!D58)))</f>
        <v/>
      </c>
      <c r="E13" s="549" t="str">
        <f>IF(AND('Vue d''ensemble'!$B$6="Branche de production",OR('Vue d''ensemble'!$B$3="Commercialisation",'Vue d''ensemble'!$B$3="Transformation")),'Dropdown input'!N58,IF(AND('Vue d''ensemble'!$B$6="Branche de production",OR('Vue d''ensemble'!$B$3="Création_et_développement_d’activités_dans_l’exploitation_agricole",'Vue d''ensemble'!$B$3="Production",'Vue d''ensemble'!$B$3="Autres")),'Dropdown input'!K58,IF(AND('Vue d''ensemble'!$B$6="Exploitation",OR('Vue d''ensemble'!$B$3="Commercialisation",'Vue d''ensemble'!$B$3="Transformation")),'Dropdown input'!H58,'Dropdown input'!E58)))</f>
        <v/>
      </c>
      <c r="F13" s="607" t="str">
        <f>IF('Vue d''ensemble'!$D$2="","",'Vue d''ensemble'!$D$2)</f>
        <v/>
      </c>
      <c r="G13" s="606" t="str">
        <f>IF(AND('Vue d''ensemble'!$B$6="Exploitation",'Vue d''ensemble'!$B$3="Production"),'Compte de résultats'!L12,IF(AND('Vue d''ensemble'!$B$8="Exploitation",OR('Vue d''ensemble'!$B$3="Commercialisation",'Vue d''ensemble'!$B$3="Transformation")),'Compte de résultats'!N11,IF(AND('Vue d''ensemble'!$B$6="Branche de production",OR('Vue d''ensemble'!$B$3="Commercialisation",'Vue d''ensemble'!$B$3="Transformation")),'Compte de résultats'!L12,"")))</f>
        <v/>
      </c>
      <c r="H13" s="429"/>
      <c r="I13" s="430"/>
      <c r="J13" s="429"/>
      <c r="K13" s="430"/>
      <c r="L13" s="429" t="str">
        <f>IF(AND('Vue d''ensemble'!$B$6="Exploitation",'Vue d''ensemble'!$B$3="Production"),'Compte de résultats'!M12,IF(AND('Vue d''ensemble'!$B$6="Exploitation",OR('Vue d''ensemble'!$B$3="Commercialisation",'Vue d''ensemble'!$B$3="Transformation")),'Compte de résultats'!O11,IF(AND('Vue d''ensemble'!$B$6="Branche de production",OR('Vue d''ensemble'!$B$3="Commercialisation",'Vue d''ensemble'!$B$3="Transformation")),'Compte de résultats'!M12,"")))</f>
        <v/>
      </c>
      <c r="M13" s="430"/>
      <c r="N13" s="560" t="str">
        <f t="shared" si="0"/>
        <v/>
      </c>
    </row>
    <row r="14" spans="1:22" ht="15.5" x14ac:dyDescent="0.35">
      <c r="A14" s="597"/>
      <c r="B14" s="559" t="str">
        <f>IF('Vue d''ensemble'!$B$3="sélectionner","",'Vue d''ensemble'!$B$3)</f>
        <v/>
      </c>
      <c r="C14" s="559" t="str">
        <f>IF('Vue d''ensemble'!$B$4="sélectionner","",'Vue d''ensemble'!$B$4)</f>
        <v/>
      </c>
      <c r="D14" s="423" t="str">
        <f>IF(AND('Vue d''ensemble'!$B$6="Branche de production",OR('Vue d''ensemble'!$B$3="Commercialisation",'Vue d''ensemble'!$B$3="Transformation")),'Dropdown input'!M59,IF(AND('Vue d''ensemble'!$B$6="Branche de production",OR('Vue d''ensemble'!$B$3="Création_et_développement_d’activités_dans_l’exploitation_agricole",'Vue d''ensemble'!$B$3="Production",'Vue d''ensemble'!$B$3="Autres")),'Dropdown input'!J59,IF(AND('Vue d''ensemble'!$B$6="Exploitation",OR('Vue d''ensemble'!$B$3="Commercialisation",'Vue d''ensemble'!$B$3="Transformation")),'Dropdown input'!G59,'Dropdown input'!D59)))</f>
        <v/>
      </c>
      <c r="E14" s="609" t="str">
        <f>IF(AND('Vue d''ensemble'!$B$6="Branche de production",OR('Vue d''ensemble'!$B$3="Commercialisation",'Vue d''ensemble'!$B$3="Transformation")),'Dropdown input'!N59,IF(AND('Vue d''ensemble'!$B$6="Branche de production",OR('Vue d''ensemble'!$B$3="Création_et_développement_d’activités_dans_l’exploitation_agricole",'Vue d''ensemble'!$B$3="Production",'Vue d''ensemble'!$B$3="Autres")),'Dropdown input'!K59,IF(AND('Vue d''ensemble'!$B$6="Exploitation",OR('Vue d''ensemble'!$B$3="Commercialisation",'Vue d''ensemble'!$B$3="Transformation")),'Dropdown input'!H59,'Dropdown input'!E59)))</f>
        <v/>
      </c>
      <c r="F14" s="607" t="str">
        <f>IF('Vue d''ensemble'!$D$2="","",'Vue d''ensemble'!$D$2)</f>
        <v/>
      </c>
      <c r="G14" s="606" t="str">
        <f>IF(AND('Vue d''ensemble'!$B$6="Exploitation",'Vue d''ensemble'!$B$3="Production"),'Compte de résultats'!N12,IF(AND('Vue d''ensemble'!$B$8="Exploitation",OR('Vue d''ensemble'!$B$3="Commercialisation",'Vue d''ensemble'!$B$3="Transformation")),'Compte de résultats'!L21,IF(AND('Vue d''ensemble'!$B$6="Branche de production",OR('Vue d''ensemble'!$B$3="Commercialisation",'Vue d''ensemble'!$B$3="Transformation")),'Compte de résultats'!N12,"")))</f>
        <v/>
      </c>
      <c r="H14" s="429"/>
      <c r="I14" s="430"/>
      <c r="J14" s="429"/>
      <c r="K14" s="430"/>
      <c r="L14" s="429" t="str">
        <f>IF(AND('Vue d''ensemble'!$B$6="Exploitation",'Vue d''ensemble'!$B$3="Production"),'Compte de résultats'!O12,IF(AND('Vue d''ensemble'!$B$6="Exploitation",OR('Vue d''ensemble'!$B$3="Commercialisation",'Vue d''ensemble'!$B$3="Transformation")),'Compte de résultats'!M21,IF(AND('Vue d''ensemble'!$B$6="Branche de production",OR('Vue d''ensemble'!$B$3="Commercialisation",'Vue d''ensemble'!$B$3="Transformation")),'Compte de résultats'!O12,"")))</f>
        <v/>
      </c>
      <c r="M14" s="430"/>
      <c r="N14" s="560" t="str">
        <f t="shared" si="0"/>
        <v/>
      </c>
    </row>
    <row r="15" spans="1:22" ht="15.5" x14ac:dyDescent="0.35">
      <c r="A15" s="598"/>
      <c r="B15" s="559" t="str">
        <f>IF('Vue d''ensemble'!$B$3="sélectionner","",'Vue d''ensemble'!$B$3)</f>
        <v/>
      </c>
      <c r="C15" s="559" t="str">
        <f>IF('Vue d''ensemble'!$B$4="sélectionner","",'Vue d''ensemble'!$B$4)</f>
        <v/>
      </c>
      <c r="D15" s="428">
        <f>IF(AND('Vue d''ensemble'!$B$6="Branche de production",OR('Vue d''ensemble'!$B$3="Commercialisation",'Vue d''ensemble'!$B$3="Transformation")),'Dropdown input'!M60,IF(AND('Vue d''ensemble'!$B$6="Branche de production",OR('Vue d''ensemble'!$B$3="Création_et_développement_d’activités_dans_l’exploitation_agricole",'Vue d''ensemble'!$B$3="Production",'Vue d''ensemble'!$B$3="Autres")),'Dropdown input'!J60,IF(AND('Vue d''ensemble'!$B$6="Exploitation",OR('Vue d''ensemble'!$B$3="Commercialisation",'Vue d''ensemble'!$B$3="Transformation")),'Dropdown input'!G60,'Dropdown input'!D60)))</f>
        <v>0</v>
      </c>
      <c r="E15" s="549">
        <f>IF(AND('Vue d''ensemble'!$B$6="Branche de production",OR('Vue d''ensemble'!$B$3="Commercialisation",'Vue d''ensemble'!$B$3="Transformation")),'Dropdown input'!N60,IF(AND('Vue d''ensemble'!$B$6="Branche de production",OR('Vue d''ensemble'!$B$3="Création_et_développement_d’activités_dans_l’exploitation_agricole",'Vue d''ensemble'!$B$3="Production",'Vue d''ensemble'!$B$3="Autres")),'Dropdown input'!K60,IF(AND('Vue d''ensemble'!$B$6="Exploitation",OR('Vue d''ensemble'!$B$3="Commercialisation",'Vue d''ensemble'!$B$3="Transformation")),'Dropdown input'!H60,'Dropdown input'!E60)))</f>
        <v>0</v>
      </c>
      <c r="F15" s="607" t="str">
        <f>IF('Vue d''ensemble'!$D$2="","",'Vue d''ensemble'!$D$2)</f>
        <v/>
      </c>
      <c r="G15" s="606" t="str">
        <f>IF(AND('Vue d''ensemble'!$B$6="Exploitation",'Vue d''ensemble'!$B$3="Production"),"",IF(AND('Vue d''ensemble'!$B$8="Exploitation",OR('Vue d''ensemble'!$B$3="Commercialisation",'Vue d''ensemble'!$B$3="Transformation")),'Compte de résultats'!L12,IF(AND('Vue d''ensemble'!$B$6="Branche de production",OR('Vue d''ensemble'!$B$3="Commercialisation",'Vue d''ensemble'!$B$3="Transformation")),'Compte de résultats'!L22,"")))</f>
        <v/>
      </c>
      <c r="H15" s="429"/>
      <c r="I15" s="430"/>
      <c r="J15" s="429"/>
      <c r="K15" s="430"/>
      <c r="L15" s="429" t="str">
        <f>IF(AND('Vue d''ensemble'!$B$6="Exploitation",'Vue d''ensemble'!$B$3="Production"),"",IF(AND('Vue d''ensemble'!$B$6="Exploitation",OR('Vue d''ensemble'!$B$3="Commercialisation",'Vue d''ensemble'!$B$3="Transformation")),'Compte de résultats'!M12,IF(AND('Vue d''ensemble'!$B$6="Branche de production",OR('Vue d''ensemble'!$B$3="Commercialisation",'Vue d''ensemble'!$B$3="Transformation")),'Compte de résultats'!M22,"")))</f>
        <v/>
      </c>
      <c r="M15" s="430"/>
      <c r="N15" s="560" t="str">
        <f t="shared" si="0"/>
        <v xml:space="preserve">remplir seulement 'n' et 'n+6' </v>
      </c>
    </row>
    <row r="16" spans="1:22" ht="15.5" x14ac:dyDescent="0.35">
      <c r="A16" s="597"/>
      <c r="B16" s="559" t="str">
        <f>IF('Vue d''ensemble'!$B$3="sélectionner","",'Vue d''ensemble'!$B$3)</f>
        <v/>
      </c>
      <c r="C16" s="559" t="str">
        <f>IF('Vue d''ensemble'!$B$4="sélectionner","",'Vue d''ensemble'!$B$4)</f>
        <v/>
      </c>
      <c r="D16" s="423">
        <f>IF(AND('Vue d''ensemble'!$B$6="Branche de production",OR('Vue d''ensemble'!$B$3="Commercialisation",'Vue d''ensemble'!$B$3="Transformation")),'Dropdown input'!M61,IF(AND('Vue d''ensemble'!$B$6="Branche de production",OR('Vue d''ensemble'!$B$3="Création_et_développement_d’activités_dans_l’exploitation_agricole",'Vue d''ensemble'!$B$3="Production",'Vue d''ensemble'!$B$3="Autres")),'Dropdown input'!J61,IF(AND('Vue d''ensemble'!$B$6="Exploitation",OR('Vue d''ensemble'!$B$3="Commercialisation",'Vue d''ensemble'!$B$3="Transformation")),'Dropdown input'!G61,'Dropdown input'!D61)))</f>
        <v>0</v>
      </c>
      <c r="E16" s="609">
        <f>IF(AND('Vue d''ensemble'!$B$6="Branche de production",OR('Vue d''ensemble'!$B$3="Commercialisation",'Vue d''ensemble'!$B$3="Transformation")),'Dropdown input'!N61,IF(AND('Vue d''ensemble'!$B$6="Branche de production",OR('Vue d''ensemble'!$B$3="Création_et_développement_d’activités_dans_l’exploitation_agricole",'Vue d''ensemble'!$B$3="Production",'Vue d''ensemble'!$B$3="Autres")),'Dropdown input'!K61,IF(AND('Vue d''ensemble'!$B$6="Exploitation",OR('Vue d''ensemble'!$B$3="Commercialisation",'Vue d''ensemble'!$B$3="Transformation")),'Dropdown input'!H61,'Dropdown input'!E61)))</f>
        <v>0</v>
      </c>
      <c r="F16" s="607" t="str">
        <f>IF('Vue d''ensemble'!$D$2="","",'Vue d''ensemble'!$D$2)</f>
        <v/>
      </c>
      <c r="G16" s="606" t="str">
        <f>IF(AND('Vue d''ensemble'!$B$6="Exploitation",'Vue d''ensemble'!$B$3="Production"),"",IF(AND('Vue d''ensemble'!$B$8="Exploitation",OR('Vue d''ensemble'!$B$3="Commercialisation",'Vue d''ensemble'!$B$3="Transformation")),'Compte de résultats'!N12,IF(AND('Vue d''ensemble'!$B$6="Branche de production",OR('Vue d''ensemble'!$B$3="Commercialisation",'Vue d''ensemble'!$B$3="Transformation")),"","")))</f>
        <v/>
      </c>
      <c r="H16" s="429"/>
      <c r="I16" s="430"/>
      <c r="J16" s="429"/>
      <c r="K16" s="430"/>
      <c r="L16" s="429" t="str">
        <f>IF(AND('Vue d''ensemble'!$B$6="Exploitation",'Vue d''ensemble'!$B$3="Production"),"",IF(AND('Vue d''ensemble'!$B$6="Exploitation",OR('Vue d''ensemble'!$B$3="Commercialisation",'Vue d''ensemble'!$B$3="Transformation")),'Compte de résultats'!O12,IF(AND('Vue d''ensemble'!$B$6="Branche de production",OR('Vue d''ensemble'!$B$3="Commercialisation",'Vue d''ensemble'!$B$3="Transformation")),"","")))</f>
        <v/>
      </c>
      <c r="M16" s="430"/>
      <c r="N16" s="560" t="str">
        <f t="shared" si="0"/>
        <v xml:space="preserve">remplir seulement 'n' et 'n+6' </v>
      </c>
    </row>
    <row r="17" spans="1:14" ht="15.5" x14ac:dyDescent="0.35">
      <c r="A17" s="597"/>
      <c r="B17" s="559" t="str">
        <f>IF('Vue d''ensemble'!$B$3="sélectionner","",'Vue d''ensemble'!$B$3)</f>
        <v/>
      </c>
      <c r="C17" s="559" t="str">
        <f>IF('Vue d''ensemble'!$B$4="sélectionner","",'Vue d''ensemble'!$B$4)</f>
        <v/>
      </c>
      <c r="D17" s="428">
        <f>IF(AND('Vue d''ensemble'!$B$6="Branche de production",OR('Vue d''ensemble'!$B$3="Commercialisation",'Vue d''ensemble'!$B$3="Transformation")),'Dropdown input'!M62,IF(AND('Vue d''ensemble'!$B$6="Branche de production",OR('Vue d''ensemble'!$B$3="Création_et_développement_d’activités_dans_l’exploitation_agricole",'Vue d''ensemble'!$B$3="Production",'Vue d''ensemble'!$B$3="Autres")),'Dropdown input'!J62,IF(AND('Vue d''ensemble'!$B$6="Exploitation",OR('Vue d''ensemble'!$B$3="Commercialisation",'Vue d''ensemble'!$B$3="Transformation")),'Dropdown input'!G62,'Dropdown input'!D62)))</f>
        <v>0</v>
      </c>
      <c r="E17" s="549">
        <f>IF(AND('Vue d''ensemble'!$B$8="Branche de production",OR('Vue d''ensemble'!$B$3="Commercialisation",'Vue d''ensemble'!$B$3="Transformation")),'Dropdown input'!N62,IF(AND('Vue d''ensemble'!$B$8="Branche de production",OR('Vue d''ensemble'!$B$3="Création_et_développement_d’activités_dans_l’exploitation_agricole",'Vue d''ensemble'!$B$3="Production",'Vue d''ensemble'!$B$3="Autres")),'Dropdown input'!K62,IF(AND('Vue d''ensemble'!$B$8="Exploitation",OR('Vue d''ensemble'!$B$3="Commercialisation",'Vue d''ensemble'!$B$3="Transformation")),'Dropdown input'!H62,'Dropdown input'!E62)))</f>
        <v>0</v>
      </c>
      <c r="F17" s="607" t="str">
        <f>IF('Vue d''ensemble'!$D$2="","",'Vue d''ensemble'!$D$2)</f>
        <v/>
      </c>
      <c r="G17" s="606" t="str">
        <f>IF(AND('Vue d''ensemble'!$B$6="Exploitation",'Vue d''ensemble'!$B$3="Production"),"",IF(AND('Vue d''ensemble'!$B$8="Exploitation",OR('Vue d''ensemble'!$B$3="Commercialisation",'Vue d''ensemble'!$B$3="Transformation")),'Compte de résultats'!L22,IF(AND('Vue d''ensemble'!$B$6="Branche de production",OR('Vue d''ensemble'!$B$3="Commercialisation",'Vue d''ensemble'!$B$3="Transformation")),"","")))</f>
        <v/>
      </c>
      <c r="H17" s="429"/>
      <c r="I17" s="430"/>
      <c r="J17" s="429"/>
      <c r="K17" s="430"/>
      <c r="L17" s="429" t="str">
        <f>IF(AND('Vue d''ensemble'!$B$6="Exploitation",'Vue d''ensemble'!$B$3="Production"),"",IF(AND('Vue d''ensemble'!$B$6="Exploitation",OR('Vue d''ensemble'!$B$3="Commercialisation",'Vue d''ensemble'!$B$3="Transformation")),'Compte de résultats'!M22,IF(AND('Vue d''ensemble'!$B$6="Branche de production",OR('Vue d''ensemble'!$B$3="Commercialisation",'Vue d''ensemble'!$B$3="Transformation")),"","")))</f>
        <v/>
      </c>
      <c r="M17" s="430"/>
      <c r="N17" s="560" t="str">
        <f t="shared" si="0"/>
        <v xml:space="preserve">remplir seulement 'n' et 'n+6' </v>
      </c>
    </row>
  </sheetData>
  <sheetProtection sheet="1" objects="1" scenarios="1"/>
  <mergeCells count="1">
    <mergeCell ref="A3:P3"/>
  </mergeCells>
  <pageMargins left="0.7" right="0.7" top="0.78740157499999996" bottom="0.78740157499999996"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A1:AE134"/>
  <sheetViews>
    <sheetView showGridLines="0" view="pageBreakPreview" zoomScale="106" zoomScaleNormal="100" zoomScaleSheetLayoutView="106" workbookViewId="0">
      <selection activeCell="L14" sqref="L14"/>
    </sheetView>
  </sheetViews>
  <sheetFormatPr baseColWidth="10" defaultColWidth="11" defaultRowHeight="14" outlineLevelRow="1" x14ac:dyDescent="0.3"/>
  <cols>
    <col min="1" max="1" width="52.58203125" style="7" customWidth="1"/>
    <col min="2" max="2" width="19.08203125" style="7" bestFit="1" customWidth="1"/>
    <col min="3" max="3" width="14.08203125" style="7" customWidth="1"/>
    <col min="4" max="4" width="11" style="7"/>
    <col min="5" max="10" width="11" style="7" customWidth="1"/>
    <col min="11" max="11" width="30.08203125" style="7" customWidth="1"/>
    <col min="12" max="12" width="22.5" style="7" customWidth="1"/>
    <col min="13" max="14" width="16.58203125" style="7" customWidth="1"/>
    <col min="15" max="15" width="8.33203125" style="7" customWidth="1"/>
    <col min="16" max="16" width="41.33203125" style="7" customWidth="1"/>
    <col min="17" max="16384" width="11" style="7"/>
  </cols>
  <sheetData>
    <row r="1" spans="1:31" s="13" customFormat="1" ht="24.65" customHeight="1" x14ac:dyDescent="0.3">
      <c r="A1" s="367" t="s">
        <v>473</v>
      </c>
      <c r="B1" s="12"/>
      <c r="C1" s="12"/>
      <c r="D1" s="12"/>
      <c r="E1" s="12"/>
      <c r="F1" s="12"/>
      <c r="G1" s="12"/>
      <c r="H1" s="12"/>
      <c r="I1" s="12"/>
      <c r="J1" s="12"/>
      <c r="K1" s="12"/>
      <c r="L1" s="12"/>
      <c r="M1" s="12"/>
      <c r="N1" s="12"/>
      <c r="O1" s="12"/>
      <c r="P1" s="12"/>
      <c r="Q1" s="8"/>
      <c r="R1" s="8"/>
      <c r="S1" s="8"/>
      <c r="T1" s="8"/>
      <c r="U1" s="8"/>
      <c r="V1" s="8"/>
      <c r="W1" s="8"/>
      <c r="X1" s="8"/>
      <c r="Y1" s="8"/>
      <c r="Z1" s="8"/>
      <c r="AA1" s="8"/>
      <c r="AB1" s="8"/>
      <c r="AC1" s="8"/>
      <c r="AD1" s="8"/>
      <c r="AE1" s="8"/>
    </row>
    <row r="2" spans="1:31" s="41" customFormat="1" ht="22.5" customHeight="1" x14ac:dyDescent="0.3">
      <c r="A2" s="5" t="s">
        <v>0</v>
      </c>
      <c r="B2" s="40"/>
      <c r="C2" s="6"/>
      <c r="D2" s="10"/>
      <c r="E2" s="5" t="s">
        <v>1</v>
      </c>
      <c r="F2" s="40"/>
      <c r="G2" s="10"/>
      <c r="H2" s="10"/>
      <c r="I2" s="10"/>
      <c r="J2" s="10"/>
      <c r="K2" s="10"/>
      <c r="L2" s="10"/>
      <c r="M2" s="10"/>
      <c r="N2" s="10"/>
      <c r="O2" s="10"/>
    </row>
    <row r="3" spans="1:31" s="41" customFormat="1" ht="21" customHeight="1" x14ac:dyDescent="0.3">
      <c r="A3" s="42" t="s">
        <v>2</v>
      </c>
      <c r="B3" s="43" t="s">
        <v>3</v>
      </c>
      <c r="C3" s="44"/>
      <c r="D3" s="45"/>
      <c r="E3" s="45"/>
      <c r="F3" s="45"/>
      <c r="G3" s="45"/>
      <c r="H3" s="45"/>
      <c r="I3" s="45"/>
      <c r="J3" s="45"/>
      <c r="K3" s="45"/>
      <c r="L3" s="45"/>
      <c r="M3" s="45"/>
      <c r="N3" s="45"/>
      <c r="O3" s="45"/>
      <c r="P3" s="45"/>
    </row>
    <row r="4" spans="1:31" ht="7" customHeight="1" thickBot="1" x14ac:dyDescent="0.35">
      <c r="A4" s="46"/>
    </row>
    <row r="5" spans="1:31" ht="49.5" customHeight="1" thickTop="1" x14ac:dyDescent="0.3">
      <c r="A5" s="721" t="s">
        <v>474</v>
      </c>
      <c r="B5" s="722"/>
      <c r="C5" s="722"/>
      <c r="D5" s="722"/>
      <c r="E5" s="722"/>
      <c r="F5" s="722"/>
      <c r="G5" s="722"/>
      <c r="H5" s="722"/>
      <c r="I5" s="722"/>
      <c r="J5" s="722"/>
      <c r="K5" s="722"/>
      <c r="L5" s="722"/>
      <c r="M5" s="722"/>
      <c r="N5" s="722"/>
      <c r="O5" s="722"/>
      <c r="P5" s="723"/>
    </row>
    <row r="6" spans="1:31" ht="19" customHeight="1" thickBot="1" x14ac:dyDescent="0.35">
      <c r="A6" s="47"/>
      <c r="B6" s="47"/>
      <c r="C6" s="47"/>
      <c r="D6" s="47"/>
      <c r="E6" s="47"/>
      <c r="F6" s="47"/>
      <c r="G6" s="47"/>
      <c r="H6" s="47"/>
      <c r="I6" s="47"/>
      <c r="J6" s="47"/>
      <c r="K6" s="47"/>
      <c r="L6" s="47"/>
      <c r="M6" s="47"/>
      <c r="N6" s="48"/>
      <c r="O6" s="48"/>
      <c r="P6" s="49"/>
    </row>
    <row r="7" spans="1:31" ht="14.5" thickTop="1" x14ac:dyDescent="0.3">
      <c r="A7" s="46"/>
      <c r="N7" s="50"/>
    </row>
    <row r="8" spans="1:31" s="6" customFormat="1" ht="26.15" customHeight="1" x14ac:dyDescent="0.3">
      <c r="A8" s="51" t="s">
        <v>4</v>
      </c>
      <c r="B8" s="52"/>
      <c r="C8" s="52"/>
      <c r="D8" s="52"/>
      <c r="E8" s="52"/>
      <c r="F8" s="52"/>
      <c r="G8" s="52"/>
      <c r="H8" s="52"/>
      <c r="I8" s="52"/>
      <c r="J8" s="52"/>
      <c r="K8" s="52"/>
      <c r="L8" s="53"/>
      <c r="M8" s="54"/>
      <c r="N8" s="55"/>
      <c r="O8" s="56"/>
      <c r="P8" s="56"/>
    </row>
    <row r="9" spans="1:31" outlineLevel="1" x14ac:dyDescent="0.3">
      <c r="A9" s="57" t="s">
        <v>5</v>
      </c>
      <c r="B9" s="58"/>
      <c r="C9" s="58"/>
      <c r="D9" s="58"/>
      <c r="E9" s="58"/>
      <c r="F9" s="58"/>
      <c r="G9" s="58"/>
      <c r="H9" s="58"/>
      <c r="I9" s="58"/>
      <c r="J9" s="58"/>
      <c r="K9" s="58"/>
      <c r="L9" s="59"/>
      <c r="M9" s="59"/>
      <c r="N9" s="57"/>
      <c r="O9" s="58"/>
      <c r="P9" s="58"/>
    </row>
    <row r="10" spans="1:31" s="66" customFormat="1" ht="39" outlineLevel="1" x14ac:dyDescent="0.3">
      <c r="A10" s="60"/>
      <c r="B10" s="61" t="s">
        <v>6</v>
      </c>
      <c r="C10" s="62" t="str">
        <f>'Compte de résultats'!C8</f>
        <v>n = année précédente</v>
      </c>
      <c r="D10" s="62" t="str">
        <f>'Compte de résultats'!D8</f>
        <v>n + 1
(1ère année du PDR)</v>
      </c>
      <c r="E10" s="62" t="str">
        <f>'Compte de résultats'!E8</f>
        <v>n+2
(deuxième année)</v>
      </c>
      <c r="F10" s="62" t="str">
        <f>'Compte de résultats'!F8</f>
        <v>n+3</v>
      </c>
      <c r="G10" s="62" t="str">
        <f>'Compte de résultats'!G8</f>
        <v>n+4</v>
      </c>
      <c r="H10" s="62" t="str">
        <f>'Compte de résultats'!H8</f>
        <v>n+5</v>
      </c>
      <c r="I10" s="62" t="str">
        <f>'Compte de résultats'!I8</f>
        <v>n+6
(dernière année du PDR)</v>
      </c>
      <c r="J10" s="62" t="str">
        <f>'Compte de résultats'!J8</f>
        <v>1re année après la mise en oeuvre</v>
      </c>
      <c r="K10" s="63" t="s">
        <v>7</v>
      </c>
      <c r="L10" s="64" t="s">
        <v>8</v>
      </c>
      <c r="M10" s="65"/>
      <c r="N10" s="65"/>
    </row>
    <row r="11" spans="1:31" outlineLevel="1" x14ac:dyDescent="0.3">
      <c r="A11" s="67" t="s">
        <v>9</v>
      </c>
      <c r="B11" s="68"/>
      <c r="C11" s="69"/>
      <c r="D11" s="70"/>
      <c r="E11" s="70"/>
      <c r="F11" s="70"/>
      <c r="G11" s="70"/>
      <c r="H11" s="70"/>
      <c r="I11" s="71"/>
      <c r="J11" s="68"/>
      <c r="K11" s="72"/>
      <c r="L11" s="73"/>
    </row>
    <row r="12" spans="1:31" outlineLevel="1" x14ac:dyDescent="0.3">
      <c r="A12" s="74" t="s">
        <v>10</v>
      </c>
      <c r="B12" s="75" t="s">
        <v>11</v>
      </c>
      <c r="C12" s="76">
        <v>6000</v>
      </c>
      <c r="D12" s="77">
        <f>C12+D13*C12</f>
        <v>8400</v>
      </c>
      <c r="E12" s="77">
        <f t="shared" ref="E12:H12" si="0">D12+E13*D12</f>
        <v>9240</v>
      </c>
      <c r="F12" s="77">
        <f t="shared" si="0"/>
        <v>10626</v>
      </c>
      <c r="G12" s="77">
        <f t="shared" si="0"/>
        <v>11688.6</v>
      </c>
      <c r="H12" s="77">
        <f t="shared" si="0"/>
        <v>13441.89</v>
      </c>
      <c r="I12" s="78">
        <f>H12+I13*H12</f>
        <v>15458.173499999999</v>
      </c>
      <c r="J12" s="78">
        <f>I12+J13*I12</f>
        <v>17776.899525000001</v>
      </c>
      <c r="K12" s="79">
        <f>SUM(C12:I12)</f>
        <v>74854.663499999995</v>
      </c>
      <c r="L12" s="73"/>
    </row>
    <row r="13" spans="1:31" outlineLevel="1" x14ac:dyDescent="0.3">
      <c r="A13" s="80" t="s">
        <v>12</v>
      </c>
      <c r="B13" s="81" t="s">
        <v>13</v>
      </c>
      <c r="C13" s="82"/>
      <c r="D13" s="83">
        <v>0.4</v>
      </c>
      <c r="E13" s="83">
        <v>0.1</v>
      </c>
      <c r="F13" s="83">
        <v>0.15</v>
      </c>
      <c r="G13" s="83">
        <v>0.1</v>
      </c>
      <c r="H13" s="83">
        <v>0.15</v>
      </c>
      <c r="I13" s="83">
        <v>0.15</v>
      </c>
      <c r="J13" s="83">
        <v>0.15</v>
      </c>
      <c r="K13" s="84">
        <f>AVERAGE(D13:I13)</f>
        <v>0.17500000000000002</v>
      </c>
      <c r="L13" s="85" t="s">
        <v>14</v>
      </c>
      <c r="M13" s="86"/>
      <c r="N13" s="86"/>
    </row>
    <row r="14" spans="1:31" outlineLevel="1" x14ac:dyDescent="0.3">
      <c r="A14" s="80" t="s">
        <v>15</v>
      </c>
      <c r="B14" s="81" t="s">
        <v>16</v>
      </c>
      <c r="C14" s="87">
        <v>10</v>
      </c>
      <c r="D14" s="88">
        <v>10</v>
      </c>
      <c r="E14" s="88">
        <v>10</v>
      </c>
      <c r="F14" s="88">
        <v>10</v>
      </c>
      <c r="G14" s="88">
        <v>10</v>
      </c>
      <c r="H14" s="88">
        <v>10</v>
      </c>
      <c r="I14" s="88">
        <v>10</v>
      </c>
      <c r="J14" s="88">
        <v>10</v>
      </c>
      <c r="K14" s="89">
        <f>AVERAGE(C14:I14)</f>
        <v>10</v>
      </c>
      <c r="L14" s="85"/>
      <c r="M14" s="86"/>
      <c r="N14" s="86"/>
    </row>
    <row r="15" spans="1:31" outlineLevel="1" x14ac:dyDescent="0.3">
      <c r="A15" s="74" t="s">
        <v>17</v>
      </c>
      <c r="B15" s="75" t="s">
        <v>18</v>
      </c>
      <c r="C15" s="76">
        <f>C12/C14</f>
        <v>600</v>
      </c>
      <c r="D15" s="90">
        <f t="shared" ref="D15:J15" si="1">D12/D14</f>
        <v>840</v>
      </c>
      <c r="E15" s="90">
        <f t="shared" si="1"/>
        <v>924</v>
      </c>
      <c r="F15" s="90">
        <f t="shared" si="1"/>
        <v>1062.5999999999999</v>
      </c>
      <c r="G15" s="90">
        <f t="shared" si="1"/>
        <v>1168.8600000000001</v>
      </c>
      <c r="H15" s="90">
        <f t="shared" si="1"/>
        <v>1344.1889999999999</v>
      </c>
      <c r="I15" s="90">
        <f t="shared" si="1"/>
        <v>1545.8173499999998</v>
      </c>
      <c r="J15" s="90">
        <f t="shared" si="1"/>
        <v>1777.6899525000001</v>
      </c>
      <c r="K15" s="91">
        <f>SUM(C15:I15)</f>
        <v>7485.4663499999988</v>
      </c>
      <c r="L15" s="92"/>
      <c r="M15" s="93"/>
      <c r="N15" s="93"/>
    </row>
    <row r="16" spans="1:31" ht="3.65" customHeight="1" outlineLevel="1" x14ac:dyDescent="0.3">
      <c r="A16" s="74"/>
      <c r="B16" s="75"/>
      <c r="C16" s="74"/>
      <c r="D16" s="94"/>
      <c r="E16" s="94"/>
      <c r="F16" s="94"/>
      <c r="G16" s="94"/>
      <c r="H16" s="94"/>
      <c r="I16" s="75"/>
      <c r="J16" s="75"/>
      <c r="K16" s="95"/>
      <c r="L16" s="96"/>
    </row>
    <row r="17" spans="1:17" outlineLevel="1" x14ac:dyDescent="0.3">
      <c r="A17" s="97" t="s">
        <v>19</v>
      </c>
      <c r="B17" s="98"/>
      <c r="C17" s="99"/>
      <c r="D17" s="100"/>
      <c r="E17" s="100"/>
      <c r="F17" s="100"/>
      <c r="G17" s="100"/>
      <c r="H17" s="100"/>
      <c r="I17" s="98"/>
      <c r="J17" s="98"/>
      <c r="K17" s="101"/>
      <c r="L17" s="96"/>
    </row>
    <row r="18" spans="1:17" outlineLevel="1" x14ac:dyDescent="0.3">
      <c r="A18" s="74" t="s">
        <v>20</v>
      </c>
      <c r="B18" s="75" t="s">
        <v>21</v>
      </c>
      <c r="C18" s="102">
        <v>0.55000000000000004</v>
      </c>
      <c r="D18" s="103">
        <v>0.55000000000000004</v>
      </c>
      <c r="E18" s="103">
        <v>0.55000000000000004</v>
      </c>
      <c r="F18" s="103">
        <v>0.55000000000000004</v>
      </c>
      <c r="G18" s="103">
        <v>0.55000000000000004</v>
      </c>
      <c r="H18" s="103">
        <v>0.55000000000000004</v>
      </c>
      <c r="I18" s="104">
        <v>0.55000000000000004</v>
      </c>
      <c r="J18" s="104">
        <v>1.55</v>
      </c>
      <c r="K18" s="105">
        <f>AVERAGE(C18:I18)</f>
        <v>0.54999999999999993</v>
      </c>
      <c r="L18" s="92"/>
      <c r="M18" s="86"/>
      <c r="N18" s="86"/>
    </row>
    <row r="19" spans="1:17" outlineLevel="1" x14ac:dyDescent="0.3">
      <c r="A19" s="74" t="s">
        <v>22</v>
      </c>
      <c r="B19" s="75" t="s">
        <v>23</v>
      </c>
      <c r="C19" s="102">
        <v>0.6</v>
      </c>
      <c r="D19" s="106">
        <f>C19*C20+C19</f>
        <v>0.61199999999999999</v>
      </c>
      <c r="E19" s="106">
        <f t="shared" ref="E19:H19" si="2">D19*D20+D19</f>
        <v>0.59975999999999996</v>
      </c>
      <c r="F19" s="106">
        <f t="shared" si="2"/>
        <v>0.58776479999999998</v>
      </c>
      <c r="G19" s="106">
        <f t="shared" si="2"/>
        <v>0.60539774400000002</v>
      </c>
      <c r="H19" s="106">
        <f t="shared" si="2"/>
        <v>0.60539774400000002</v>
      </c>
      <c r="I19" s="107">
        <f>H19*H20+H19</f>
        <v>0.60539774400000002</v>
      </c>
      <c r="J19" s="107">
        <f>I19*I20+I19</f>
        <v>0.59328978911999997</v>
      </c>
      <c r="K19" s="105">
        <f>AVERAGE(C19:I19)</f>
        <v>0.60224543314285728</v>
      </c>
      <c r="L19" s="92"/>
      <c r="M19" s="93"/>
      <c r="N19" s="93"/>
    </row>
    <row r="20" spans="1:17" outlineLevel="1" x14ac:dyDescent="0.3">
      <c r="A20" s="80" t="s">
        <v>24</v>
      </c>
      <c r="B20" s="81" t="s">
        <v>25</v>
      </c>
      <c r="C20" s="82">
        <v>0.02</v>
      </c>
      <c r="D20" s="108">
        <v>-0.02</v>
      </c>
      <c r="E20" s="108">
        <v>-0.02</v>
      </c>
      <c r="F20" s="108">
        <v>0.03</v>
      </c>
      <c r="G20" s="83">
        <v>0</v>
      </c>
      <c r="H20" s="83">
        <v>0</v>
      </c>
      <c r="I20" s="109">
        <f>-2%</f>
        <v>-0.02</v>
      </c>
      <c r="J20" s="109">
        <f>-2%</f>
        <v>-0.02</v>
      </c>
      <c r="K20" s="105">
        <f>AVERAGE(C20:I20)</f>
        <v>-1.4285714285714288E-3</v>
      </c>
      <c r="L20" s="92"/>
      <c r="M20" s="86"/>
      <c r="N20" s="86"/>
    </row>
    <row r="21" spans="1:17" outlineLevel="1" x14ac:dyDescent="0.3">
      <c r="A21" s="74" t="s">
        <v>26</v>
      </c>
      <c r="B21" s="75" t="s">
        <v>27</v>
      </c>
      <c r="C21" s="110">
        <f>C19*C14</f>
        <v>6</v>
      </c>
      <c r="D21" s="111">
        <f t="shared" ref="D21:H21" si="3">D19*D14</f>
        <v>6.12</v>
      </c>
      <c r="E21" s="111">
        <f t="shared" si="3"/>
        <v>5.9975999999999994</v>
      </c>
      <c r="F21" s="111">
        <f t="shared" si="3"/>
        <v>5.8776479999999998</v>
      </c>
      <c r="G21" s="111">
        <f t="shared" si="3"/>
        <v>6.0539774400000006</v>
      </c>
      <c r="H21" s="111">
        <f t="shared" si="3"/>
        <v>6.0539774400000006</v>
      </c>
      <c r="I21" s="112">
        <f>I19*I14</f>
        <v>6.0539774400000006</v>
      </c>
      <c r="J21" s="112">
        <f>J19*J14</f>
        <v>5.9328978911999997</v>
      </c>
      <c r="K21" s="105">
        <f>AVERAGE(C21:I21)</f>
        <v>6.0224543314285706</v>
      </c>
      <c r="L21" s="92"/>
      <c r="M21" s="86"/>
      <c r="N21" s="86"/>
    </row>
    <row r="22" spans="1:17" ht="3.65" customHeight="1" outlineLevel="1" x14ac:dyDescent="0.3">
      <c r="A22" s="74"/>
      <c r="B22" s="75"/>
      <c r="C22" s="74"/>
      <c r="D22" s="94"/>
      <c r="E22" s="94"/>
      <c r="F22" s="94"/>
      <c r="G22" s="94"/>
      <c r="H22" s="94"/>
      <c r="I22" s="75"/>
      <c r="J22" s="75"/>
      <c r="K22" s="95"/>
      <c r="L22" s="96"/>
    </row>
    <row r="23" spans="1:17" outlineLevel="1" x14ac:dyDescent="0.3">
      <c r="A23" s="113" t="s">
        <v>28</v>
      </c>
      <c r="B23" s="75" t="s">
        <v>29</v>
      </c>
      <c r="C23" s="114">
        <v>1.2</v>
      </c>
      <c r="D23" s="115">
        <v>1.2</v>
      </c>
      <c r="E23" s="115">
        <v>1.2</v>
      </c>
      <c r="F23" s="115">
        <v>1.2</v>
      </c>
      <c r="G23" s="115">
        <v>1.2</v>
      </c>
      <c r="H23" s="115">
        <v>1.2</v>
      </c>
      <c r="I23" s="116">
        <v>1.2</v>
      </c>
      <c r="J23" s="116">
        <v>2.2000000000000002</v>
      </c>
      <c r="K23" s="105">
        <f>AVERAGE(C23:I23)</f>
        <v>1.2</v>
      </c>
      <c r="L23" s="92"/>
      <c r="M23" s="86"/>
      <c r="N23" s="86"/>
    </row>
    <row r="24" spans="1:17" ht="3.65" customHeight="1" outlineLevel="1" x14ac:dyDescent="0.3">
      <c r="A24" s="74"/>
      <c r="B24" s="75"/>
      <c r="C24" s="74"/>
      <c r="D24" s="94"/>
      <c r="E24" s="94"/>
      <c r="F24" s="94"/>
      <c r="G24" s="94"/>
      <c r="H24" s="94"/>
      <c r="I24" s="75"/>
      <c r="J24" s="75"/>
      <c r="K24" s="95"/>
      <c r="L24" s="96"/>
    </row>
    <row r="25" spans="1:17" outlineLevel="1" x14ac:dyDescent="0.3">
      <c r="A25" s="113" t="s">
        <v>30</v>
      </c>
      <c r="B25" s="75" t="s">
        <v>31</v>
      </c>
      <c r="C25" s="117">
        <v>0.3</v>
      </c>
      <c r="D25" s="118">
        <v>0.3</v>
      </c>
      <c r="E25" s="118">
        <v>0.3</v>
      </c>
      <c r="F25" s="118">
        <v>0.35</v>
      </c>
      <c r="G25" s="118">
        <v>0.35</v>
      </c>
      <c r="H25" s="118">
        <v>0.35</v>
      </c>
      <c r="I25" s="119">
        <v>0.35</v>
      </c>
      <c r="J25" s="119">
        <v>0.35</v>
      </c>
      <c r="K25" s="105">
        <f>AVERAGE(C25:I25)</f>
        <v>0.32857142857142863</v>
      </c>
      <c r="L25" s="92"/>
      <c r="M25" s="86"/>
      <c r="N25" s="86"/>
    </row>
    <row r="26" spans="1:17" outlineLevel="1" x14ac:dyDescent="0.3">
      <c r="A26" s="113" t="s">
        <v>32</v>
      </c>
      <c r="B26" s="75" t="s">
        <v>33</v>
      </c>
      <c r="C26" s="110">
        <f>(C21+C23)/(1-C25)</f>
        <v>10.285714285714286</v>
      </c>
      <c r="D26" s="111">
        <f>(D21+D23)/(1-D25)</f>
        <v>10.457142857142859</v>
      </c>
      <c r="E26" s="111">
        <f t="shared" ref="E26:H26" si="4">(E21+E23)/(1-E25)</f>
        <v>10.282285714285715</v>
      </c>
      <c r="F26" s="111">
        <f t="shared" si="4"/>
        <v>10.888689230769231</v>
      </c>
      <c r="G26" s="111">
        <f t="shared" si="4"/>
        <v>11.159965292307692</v>
      </c>
      <c r="H26" s="111">
        <f t="shared" si="4"/>
        <v>11.159965292307692</v>
      </c>
      <c r="I26" s="112">
        <f>(I21+I23)/(1-I25)</f>
        <v>11.159965292307692</v>
      </c>
      <c r="J26" s="112">
        <f>(J21+J23)/(1-J25)</f>
        <v>12.512150601846152</v>
      </c>
      <c r="K26" s="105">
        <f>AVERAGE(C26:I26)</f>
        <v>10.770532566405024</v>
      </c>
      <c r="L26" s="92"/>
      <c r="M26" s="93"/>
      <c r="N26" s="93"/>
    </row>
    <row r="27" spans="1:17" ht="3.65" customHeight="1" outlineLevel="1" x14ac:dyDescent="0.3">
      <c r="A27" s="74"/>
      <c r="B27" s="75"/>
      <c r="C27" s="74"/>
      <c r="D27" s="94"/>
      <c r="E27" s="94"/>
      <c r="F27" s="94"/>
      <c r="G27" s="94"/>
      <c r="H27" s="94"/>
      <c r="I27" s="75"/>
      <c r="J27" s="75"/>
      <c r="K27" s="95"/>
      <c r="L27" s="73"/>
      <c r="Q27" s="94"/>
    </row>
    <row r="28" spans="1:17" s="66" customFormat="1" ht="13" outlineLevel="1" x14ac:dyDescent="0.3">
      <c r="A28" s="120" t="s">
        <v>34</v>
      </c>
      <c r="B28" s="121" t="s">
        <v>35</v>
      </c>
      <c r="C28" s="122">
        <f>C15*C26</f>
        <v>6171.4285714285716</v>
      </c>
      <c r="D28" s="123">
        <f t="shared" ref="D28:H28" si="5">D15*D26</f>
        <v>8784.0000000000018</v>
      </c>
      <c r="E28" s="123">
        <f t="shared" si="5"/>
        <v>9500.8320000000003</v>
      </c>
      <c r="F28" s="123">
        <f t="shared" si="5"/>
        <v>11570.321176615384</v>
      </c>
      <c r="G28" s="123">
        <f t="shared" si="5"/>
        <v>13044.437031566771</v>
      </c>
      <c r="H28" s="123">
        <f t="shared" si="5"/>
        <v>15001.102586301784</v>
      </c>
      <c r="I28" s="124">
        <f>I15*I26</f>
        <v>17251.26797424705</v>
      </c>
      <c r="J28" s="124">
        <f>J15*J26</f>
        <v>22242.724409068735</v>
      </c>
      <c r="K28" s="125">
        <f>SUM(C28:I28)</f>
        <v>81323.389340159571</v>
      </c>
      <c r="L28" s="126" t="s">
        <v>36</v>
      </c>
    </row>
    <row r="29" spans="1:17" s="66" customFormat="1" ht="13" outlineLevel="1" x14ac:dyDescent="0.3">
      <c r="A29" s="127" t="s">
        <v>37</v>
      </c>
      <c r="B29" s="128" t="s">
        <v>38</v>
      </c>
      <c r="C29" s="129">
        <f>C12*C19+C23*C15</f>
        <v>4320</v>
      </c>
      <c r="D29" s="130">
        <f t="shared" ref="D29:H29" si="6">D12*D19+D23*D15</f>
        <v>6148.8</v>
      </c>
      <c r="E29" s="130">
        <f t="shared" si="6"/>
        <v>6650.5824000000002</v>
      </c>
      <c r="F29" s="130">
        <f t="shared" si="6"/>
        <v>7520.7087647999997</v>
      </c>
      <c r="G29" s="130">
        <f t="shared" si="6"/>
        <v>8478.8840705184011</v>
      </c>
      <c r="H29" s="130">
        <f t="shared" si="6"/>
        <v>9750.7166810961608</v>
      </c>
      <c r="I29" s="131">
        <f>I12*I19+I23*I15</f>
        <v>11213.324183260582</v>
      </c>
      <c r="J29" s="131">
        <f>J12*J19+J23*J15</f>
        <v>14457.770865894679</v>
      </c>
      <c r="K29" s="125">
        <f>SUM(C29:I29)</f>
        <v>54083.016099675151</v>
      </c>
      <c r="L29" s="126" t="s">
        <v>39</v>
      </c>
    </row>
    <row r="30" spans="1:17" s="66" customFormat="1" ht="13.5" outlineLevel="1" thickBot="1" x14ac:dyDescent="0.35">
      <c r="A30" s="132" t="s">
        <v>40</v>
      </c>
      <c r="B30" s="133" t="s">
        <v>41</v>
      </c>
      <c r="C30" s="134">
        <f>C28-C29</f>
        <v>1851.4285714285716</v>
      </c>
      <c r="D30" s="135">
        <f t="shared" ref="D30:H30" si="7">D28-D29</f>
        <v>2635.2000000000016</v>
      </c>
      <c r="E30" s="135">
        <f t="shared" si="7"/>
        <v>2850.2496000000001</v>
      </c>
      <c r="F30" s="135">
        <f t="shared" si="7"/>
        <v>4049.6124118153839</v>
      </c>
      <c r="G30" s="135">
        <f t="shared" si="7"/>
        <v>4565.55296104837</v>
      </c>
      <c r="H30" s="135">
        <f t="shared" si="7"/>
        <v>5250.3859052056232</v>
      </c>
      <c r="I30" s="136">
        <f>I28-I29</f>
        <v>6037.9437909864682</v>
      </c>
      <c r="J30" s="136">
        <f>J28-J29</f>
        <v>7784.9535431740551</v>
      </c>
      <c r="K30" s="137">
        <f>SUM(C30:I30)</f>
        <v>27240.37324048442</v>
      </c>
    </row>
    <row r="31" spans="1:17" ht="14.5" outlineLevel="1" thickTop="1" x14ac:dyDescent="0.3">
      <c r="A31" s="138"/>
      <c r="B31" s="66"/>
      <c r="C31" s="139"/>
      <c r="D31" s="139"/>
      <c r="E31" s="139"/>
      <c r="F31" s="139"/>
      <c r="G31" s="139"/>
      <c r="H31" s="139"/>
      <c r="I31" s="139"/>
      <c r="J31" s="139"/>
      <c r="L31" s="139"/>
      <c r="M31" s="139"/>
    </row>
    <row r="32" spans="1:17" outlineLevel="1" x14ac:dyDescent="0.3">
      <c r="A32" s="57" t="s">
        <v>42</v>
      </c>
      <c r="B32" s="58"/>
      <c r="C32" s="58"/>
      <c r="D32" s="58"/>
      <c r="E32" s="58"/>
      <c r="F32" s="58"/>
      <c r="G32" s="58"/>
      <c r="H32" s="58"/>
      <c r="I32" s="58"/>
      <c r="J32" s="58"/>
      <c r="K32" s="58"/>
      <c r="L32" s="58"/>
      <c r="M32" s="58"/>
      <c r="N32" s="58"/>
      <c r="O32" s="58"/>
      <c r="P32" s="58"/>
    </row>
    <row r="33" spans="1:16" s="66" customFormat="1" ht="39" outlineLevel="1" x14ac:dyDescent="0.3">
      <c r="A33" s="60"/>
      <c r="B33" s="61" t="s">
        <v>43</v>
      </c>
      <c r="C33" s="62" t="str">
        <f>'Compte de résultats'!C8</f>
        <v>n = année précédente</v>
      </c>
      <c r="D33" s="62" t="str">
        <f>'Compte de résultats'!D8</f>
        <v>n + 1
(1ère année du PDR)</v>
      </c>
      <c r="E33" s="62" t="str">
        <f>'Compte de résultats'!E8</f>
        <v>n+2
(deuxième année)</v>
      </c>
      <c r="F33" s="62" t="str">
        <f>'Compte de résultats'!F8</f>
        <v>n+3</v>
      </c>
      <c r="G33" s="62" t="str">
        <f>'Compte de résultats'!G8</f>
        <v>n+4</v>
      </c>
      <c r="H33" s="62" t="str">
        <f>'Compte de résultats'!H8</f>
        <v>n+5</v>
      </c>
      <c r="I33" s="62" t="str">
        <f>'Compte de résultats'!I8</f>
        <v>n+6
(dernière année du PDR)</v>
      </c>
      <c r="J33" s="62" t="str">
        <f>'Compte de résultats'!J8</f>
        <v>1re année après la mise en oeuvre</v>
      </c>
      <c r="K33" s="63" t="s">
        <v>44</v>
      </c>
      <c r="L33" s="64" t="s">
        <v>45</v>
      </c>
      <c r="M33" s="65"/>
      <c r="N33" s="65"/>
    </row>
    <row r="34" spans="1:16" outlineLevel="1" x14ac:dyDescent="0.3">
      <c r="A34" s="67" t="s">
        <v>46</v>
      </c>
      <c r="B34" s="68"/>
      <c r="C34" s="69"/>
      <c r="D34" s="70"/>
      <c r="E34" s="70"/>
      <c r="F34" s="70"/>
      <c r="G34" s="70"/>
      <c r="H34" s="70"/>
      <c r="I34" s="71"/>
      <c r="J34" s="71"/>
      <c r="K34" s="140"/>
      <c r="L34" s="73"/>
    </row>
    <row r="35" spans="1:16" outlineLevel="1" x14ac:dyDescent="0.3">
      <c r="A35" s="74" t="s">
        <v>47</v>
      </c>
      <c r="B35" s="75" t="s">
        <v>48</v>
      </c>
      <c r="C35" s="76">
        <v>0</v>
      </c>
      <c r="D35" s="90">
        <f>52*3</f>
        <v>156</v>
      </c>
      <c r="E35" s="77">
        <f>D35*(1+E36)</f>
        <v>171.60000000000002</v>
      </c>
      <c r="F35" s="77">
        <f t="shared" ref="F35:H35" si="8">E35*(1+F36)</f>
        <v>188.76000000000005</v>
      </c>
      <c r="G35" s="77">
        <f t="shared" si="8"/>
        <v>207.63600000000008</v>
      </c>
      <c r="H35" s="77">
        <f t="shared" si="8"/>
        <v>228.39960000000011</v>
      </c>
      <c r="I35" s="141">
        <f>H35*(1+I36)</f>
        <v>251.23956000000013</v>
      </c>
      <c r="J35" s="141">
        <f>I35*(1+J36)</f>
        <v>527.60307600000033</v>
      </c>
      <c r="K35" s="79">
        <f>SUM(C35:I35)</f>
        <v>1203.6351600000005</v>
      </c>
      <c r="L35" s="92"/>
      <c r="M35" s="86"/>
      <c r="N35" s="86"/>
    </row>
    <row r="36" spans="1:16" outlineLevel="1" x14ac:dyDescent="0.3">
      <c r="A36" s="80" t="s">
        <v>49</v>
      </c>
      <c r="B36" s="81" t="s">
        <v>50</v>
      </c>
      <c r="C36" s="82"/>
      <c r="D36" s="83"/>
      <c r="E36" s="83">
        <v>0.1</v>
      </c>
      <c r="F36" s="83">
        <v>0.1</v>
      </c>
      <c r="G36" s="83">
        <v>0.1</v>
      </c>
      <c r="H36" s="83">
        <v>0.1</v>
      </c>
      <c r="I36" s="142">
        <v>0.1</v>
      </c>
      <c r="J36" s="142">
        <v>1.1000000000000001</v>
      </c>
      <c r="K36" s="84">
        <f>AVERAGE(D36:I36)</f>
        <v>0.1</v>
      </c>
      <c r="L36" s="92"/>
      <c r="M36" s="86"/>
      <c r="N36" s="86"/>
    </row>
    <row r="37" spans="1:16" outlineLevel="1" x14ac:dyDescent="0.3">
      <c r="A37" s="74" t="s">
        <v>51</v>
      </c>
      <c r="B37" s="75" t="s">
        <v>52</v>
      </c>
      <c r="C37" s="76">
        <v>0</v>
      </c>
      <c r="D37" s="90">
        <v>40</v>
      </c>
      <c r="E37" s="90">
        <v>40</v>
      </c>
      <c r="F37" s="90">
        <v>40</v>
      </c>
      <c r="G37" s="90">
        <v>40</v>
      </c>
      <c r="H37" s="90">
        <v>40</v>
      </c>
      <c r="I37" s="143">
        <v>40</v>
      </c>
      <c r="J37" s="143">
        <v>41</v>
      </c>
      <c r="K37" s="144">
        <f>SUM(C37:I37)</f>
        <v>240</v>
      </c>
      <c r="L37" s="92"/>
      <c r="M37" s="86"/>
      <c r="N37" s="86"/>
    </row>
    <row r="38" spans="1:16" outlineLevel="1" x14ac:dyDescent="0.3">
      <c r="A38" s="74" t="s">
        <v>53</v>
      </c>
      <c r="B38" s="75" t="s">
        <v>54</v>
      </c>
      <c r="C38" s="145"/>
      <c r="D38" s="77">
        <f>D37/(1-D39)</f>
        <v>80</v>
      </c>
      <c r="E38" s="77">
        <f t="shared" ref="E38:H38" si="9">E37/(1-E39)</f>
        <v>88.8888888888889</v>
      </c>
      <c r="F38" s="77">
        <f t="shared" si="9"/>
        <v>100</v>
      </c>
      <c r="G38" s="77">
        <f t="shared" si="9"/>
        <v>100</v>
      </c>
      <c r="H38" s="77">
        <f t="shared" si="9"/>
        <v>100</v>
      </c>
      <c r="I38" s="141">
        <f>I37/(1-I39)</f>
        <v>100</v>
      </c>
      <c r="J38" s="141">
        <f>J37/(1-J39)</f>
        <v>102.5</v>
      </c>
      <c r="K38" s="91">
        <f>AVERAGE(C38:I38)</f>
        <v>94.814814814814824</v>
      </c>
      <c r="L38" s="92"/>
      <c r="M38" s="86"/>
      <c r="N38" s="86"/>
    </row>
    <row r="39" spans="1:16" outlineLevel="1" x14ac:dyDescent="0.3">
      <c r="A39" s="74" t="s">
        <v>55</v>
      </c>
      <c r="B39" s="75" t="s">
        <v>56</v>
      </c>
      <c r="C39" s="117"/>
      <c r="D39" s="146">
        <v>0.5</v>
      </c>
      <c r="E39" s="118">
        <v>0.55000000000000004</v>
      </c>
      <c r="F39" s="118">
        <v>0.6</v>
      </c>
      <c r="G39" s="118">
        <v>0.6</v>
      </c>
      <c r="H39" s="118">
        <v>0.6</v>
      </c>
      <c r="I39" s="147">
        <v>0.6</v>
      </c>
      <c r="J39" s="147">
        <v>0.6</v>
      </c>
      <c r="K39" s="148">
        <f>AVERAGE(C39:I39)</f>
        <v>0.57500000000000007</v>
      </c>
      <c r="L39" s="92"/>
      <c r="M39" s="86"/>
      <c r="N39" s="86"/>
    </row>
    <row r="40" spans="1:16" ht="3.65" customHeight="1" outlineLevel="1" x14ac:dyDescent="0.3">
      <c r="A40" s="74"/>
      <c r="B40" s="75"/>
      <c r="C40" s="74"/>
      <c r="D40" s="94"/>
      <c r="E40" s="94"/>
      <c r="F40" s="94"/>
      <c r="G40" s="94"/>
      <c r="H40" s="94"/>
      <c r="I40" s="96"/>
      <c r="J40" s="96"/>
      <c r="K40" s="72"/>
      <c r="L40" s="126"/>
      <c r="M40" s="139"/>
    </row>
    <row r="41" spans="1:16" s="66" customFormat="1" outlineLevel="1" x14ac:dyDescent="0.3">
      <c r="A41" s="120" t="s">
        <v>57</v>
      </c>
      <c r="B41" s="121"/>
      <c r="C41" s="122">
        <f>C35*C38</f>
        <v>0</v>
      </c>
      <c r="D41" s="123">
        <f t="shared" ref="D41:H41" si="10">D35*D38</f>
        <v>12480</v>
      </c>
      <c r="E41" s="123">
        <f t="shared" si="10"/>
        <v>15253.333333333338</v>
      </c>
      <c r="F41" s="123">
        <f t="shared" si="10"/>
        <v>18876.000000000004</v>
      </c>
      <c r="G41" s="123">
        <f t="shared" si="10"/>
        <v>20763.600000000009</v>
      </c>
      <c r="H41" s="123">
        <f t="shared" si="10"/>
        <v>22839.96000000001</v>
      </c>
      <c r="I41" s="149">
        <f>I35*I38</f>
        <v>25123.956000000013</v>
      </c>
      <c r="J41" s="149">
        <f>J35*J38</f>
        <v>54079.315290000035</v>
      </c>
      <c r="K41" s="125">
        <f>SUM(C41:I41)</f>
        <v>115336.84933333338</v>
      </c>
      <c r="L41" s="126" t="s">
        <v>58</v>
      </c>
      <c r="M41" s="139"/>
      <c r="N41" s="7"/>
    </row>
    <row r="42" spans="1:16" s="66" customFormat="1" outlineLevel="1" x14ac:dyDescent="0.3">
      <c r="A42" s="127" t="s">
        <v>59</v>
      </c>
      <c r="B42" s="128"/>
      <c r="C42" s="129">
        <f>C35*C37</f>
        <v>0</v>
      </c>
      <c r="D42" s="130">
        <f t="shared" ref="D42:H42" si="11">D35*D37</f>
        <v>6240</v>
      </c>
      <c r="E42" s="130">
        <f t="shared" si="11"/>
        <v>6864.0000000000009</v>
      </c>
      <c r="F42" s="130">
        <f t="shared" si="11"/>
        <v>7550.4000000000015</v>
      </c>
      <c r="G42" s="130">
        <f t="shared" si="11"/>
        <v>8305.4400000000023</v>
      </c>
      <c r="H42" s="130">
        <f t="shared" si="11"/>
        <v>9135.984000000004</v>
      </c>
      <c r="I42" s="150">
        <f>I35*I37</f>
        <v>10049.582400000005</v>
      </c>
      <c r="J42" s="150">
        <f>J35*J37</f>
        <v>21631.726116000013</v>
      </c>
      <c r="K42" s="125">
        <f>SUM(C42:I42)</f>
        <v>48145.406400000014</v>
      </c>
      <c r="L42" s="126" t="s">
        <v>60</v>
      </c>
      <c r="M42" s="139"/>
      <c r="N42" s="7"/>
    </row>
    <row r="43" spans="1:16" s="66" customFormat="1" ht="14.5" outlineLevel="1" thickBot="1" x14ac:dyDescent="0.35">
      <c r="A43" s="132" t="s">
        <v>61</v>
      </c>
      <c r="B43" s="133" t="s">
        <v>62</v>
      </c>
      <c r="C43" s="134">
        <f>C41-C42</f>
        <v>0</v>
      </c>
      <c r="D43" s="135">
        <f>D41-D42</f>
        <v>6240</v>
      </c>
      <c r="E43" s="135">
        <f t="shared" ref="E43:H43" si="12">E41-E42</f>
        <v>8389.3333333333358</v>
      </c>
      <c r="F43" s="135">
        <f t="shared" si="12"/>
        <v>11325.600000000002</v>
      </c>
      <c r="G43" s="135">
        <f t="shared" si="12"/>
        <v>12458.160000000007</v>
      </c>
      <c r="H43" s="135">
        <f t="shared" si="12"/>
        <v>13703.976000000006</v>
      </c>
      <c r="I43" s="151">
        <f>I41-I42</f>
        <v>15074.373600000008</v>
      </c>
      <c r="J43" s="151">
        <f>J41-J42</f>
        <v>32447.589174000022</v>
      </c>
      <c r="K43" s="137">
        <f>SUM(C43:I43)</f>
        <v>67191.442933333354</v>
      </c>
      <c r="L43" s="152"/>
      <c r="M43" s="153"/>
      <c r="N43" s="7"/>
    </row>
    <row r="44" spans="1:16" ht="14.5" outlineLevel="1" thickTop="1" x14ac:dyDescent="0.3">
      <c r="A44" s="138"/>
      <c r="B44" s="66"/>
      <c r="C44" s="139"/>
      <c r="D44" s="139"/>
      <c r="E44" s="139"/>
      <c r="F44" s="139"/>
      <c r="G44" s="139"/>
      <c r="H44" s="139"/>
      <c r="I44" s="139"/>
      <c r="J44" s="139"/>
      <c r="L44" s="139"/>
      <c r="M44" s="139"/>
    </row>
    <row r="45" spans="1:16" outlineLevel="1" x14ac:dyDescent="0.3">
      <c r="A45" s="57" t="s">
        <v>63</v>
      </c>
      <c r="B45" s="58"/>
      <c r="C45" s="58"/>
      <c r="D45" s="58"/>
      <c r="E45" s="58"/>
      <c r="F45" s="58"/>
      <c r="G45" s="58"/>
      <c r="H45" s="58"/>
      <c r="I45" s="58"/>
      <c r="J45" s="58"/>
      <c r="K45" s="58"/>
      <c r="L45" s="58"/>
      <c r="M45" s="58"/>
      <c r="N45" s="58"/>
      <c r="O45" s="58"/>
      <c r="P45" s="58"/>
    </row>
    <row r="46" spans="1:16" s="66" customFormat="1" ht="39" outlineLevel="1" x14ac:dyDescent="0.3">
      <c r="A46" s="60"/>
      <c r="B46" s="61" t="s">
        <v>64</v>
      </c>
      <c r="C46" s="62" t="str">
        <f>'Compte de résultats'!C8</f>
        <v>n = année précédente</v>
      </c>
      <c r="D46" s="62" t="str">
        <f>'Compte de résultats'!D8</f>
        <v>n + 1
(1ère année du PDR)</v>
      </c>
      <c r="E46" s="62" t="str">
        <f>'Compte de résultats'!E8</f>
        <v>n+2
(deuxième année)</v>
      </c>
      <c r="F46" s="62" t="str">
        <f>'Compte de résultats'!F8</f>
        <v>n+3</v>
      </c>
      <c r="G46" s="62" t="str">
        <f>'Compte de résultats'!G8</f>
        <v>n+4</v>
      </c>
      <c r="H46" s="62" t="str">
        <f>'Compte de résultats'!H8</f>
        <v>n+5</v>
      </c>
      <c r="I46" s="62" t="str">
        <f>'Compte de résultats'!I8</f>
        <v>n+6
(dernière année du PDR)</v>
      </c>
      <c r="J46" s="62" t="str">
        <f>'Compte de résultats'!J8</f>
        <v>1re année après la mise en oeuvre</v>
      </c>
      <c r="K46" s="63" t="s">
        <v>65</v>
      </c>
      <c r="L46" s="64" t="s">
        <v>66</v>
      </c>
      <c r="M46" s="65"/>
      <c r="N46" s="65"/>
    </row>
    <row r="47" spans="1:16" outlineLevel="1" x14ac:dyDescent="0.3">
      <c r="A47" s="67" t="s">
        <v>67</v>
      </c>
      <c r="B47" s="68"/>
      <c r="C47" s="69"/>
      <c r="D47" s="70"/>
      <c r="E47" s="70"/>
      <c r="F47" s="70"/>
      <c r="G47" s="70"/>
      <c r="H47" s="70"/>
      <c r="I47" s="70"/>
      <c r="J47" s="70"/>
      <c r="K47" s="140"/>
      <c r="L47" s="73"/>
    </row>
    <row r="48" spans="1:16" outlineLevel="1" x14ac:dyDescent="0.3">
      <c r="A48" s="74" t="s">
        <v>68</v>
      </c>
      <c r="B48" s="75" t="s">
        <v>69</v>
      </c>
      <c r="C48" s="76">
        <v>0</v>
      </c>
      <c r="D48" s="90"/>
      <c r="E48" s="90"/>
      <c r="F48" s="90"/>
      <c r="G48" s="90"/>
      <c r="H48" s="90"/>
      <c r="I48" s="90"/>
      <c r="J48" s="90"/>
      <c r="K48" s="79"/>
      <c r="L48" s="92"/>
      <c r="M48" s="86"/>
      <c r="N48" s="86"/>
    </row>
    <row r="49" spans="1:18" outlineLevel="1" x14ac:dyDescent="0.3">
      <c r="A49" s="80" t="s">
        <v>70</v>
      </c>
      <c r="B49" s="81" t="s">
        <v>71</v>
      </c>
      <c r="C49" s="82"/>
      <c r="D49" s="83"/>
      <c r="E49" s="83"/>
      <c r="F49" s="83"/>
      <c r="G49" s="83"/>
      <c r="H49" s="83"/>
      <c r="I49" s="83"/>
      <c r="J49" s="83"/>
      <c r="K49" s="84"/>
      <c r="L49" s="92"/>
      <c r="M49" s="86"/>
      <c r="N49" s="86"/>
    </row>
    <row r="50" spans="1:18" outlineLevel="1" x14ac:dyDescent="0.3">
      <c r="A50" s="74" t="s">
        <v>72</v>
      </c>
      <c r="B50" s="75" t="s">
        <v>73</v>
      </c>
      <c r="C50" s="76"/>
      <c r="D50" s="90"/>
      <c r="E50" s="90"/>
      <c r="F50" s="90"/>
      <c r="G50" s="90"/>
      <c r="H50" s="90"/>
      <c r="I50" s="90"/>
      <c r="J50" s="90"/>
      <c r="K50" s="144"/>
      <c r="L50" s="92"/>
      <c r="M50" s="86"/>
      <c r="N50" s="86"/>
    </row>
    <row r="51" spans="1:18" outlineLevel="1" x14ac:dyDescent="0.3">
      <c r="A51" s="74"/>
      <c r="B51" s="75"/>
      <c r="C51" s="76"/>
      <c r="D51" s="90"/>
      <c r="E51" s="90"/>
      <c r="F51" s="90"/>
      <c r="G51" s="90"/>
      <c r="H51" s="90"/>
      <c r="I51" s="90"/>
      <c r="J51" s="90"/>
      <c r="K51" s="91"/>
      <c r="L51" s="92"/>
      <c r="M51" s="86"/>
      <c r="N51" s="86"/>
    </row>
    <row r="52" spans="1:18" outlineLevel="1" x14ac:dyDescent="0.3">
      <c r="A52" s="74" t="s">
        <v>74</v>
      </c>
      <c r="B52" s="75" t="s">
        <v>75</v>
      </c>
      <c r="C52" s="145"/>
      <c r="D52" s="77"/>
      <c r="E52" s="77"/>
      <c r="F52" s="77"/>
      <c r="G52" s="77"/>
      <c r="H52" s="77"/>
      <c r="I52" s="77"/>
      <c r="J52" s="77"/>
      <c r="K52" s="148"/>
      <c r="L52" s="92"/>
      <c r="M52" s="86"/>
      <c r="N52" s="86"/>
    </row>
    <row r="53" spans="1:18" outlineLevel="1" x14ac:dyDescent="0.3">
      <c r="A53" s="74" t="s">
        <v>76</v>
      </c>
      <c r="B53" s="75" t="s">
        <v>77</v>
      </c>
      <c r="C53" s="117"/>
      <c r="D53" s="146"/>
      <c r="E53" s="118"/>
      <c r="F53" s="118"/>
      <c r="G53" s="118"/>
      <c r="H53" s="118"/>
      <c r="I53" s="118"/>
      <c r="J53" s="118"/>
      <c r="K53" s="72"/>
      <c r="L53" s="126"/>
      <c r="M53" s="139"/>
    </row>
    <row r="54" spans="1:18" ht="3.65" customHeight="1" outlineLevel="1" x14ac:dyDescent="0.3">
      <c r="A54" s="74"/>
      <c r="B54" s="75"/>
      <c r="C54" s="74"/>
      <c r="D54" s="94"/>
      <c r="E54" s="94"/>
      <c r="F54" s="94"/>
      <c r="G54" s="94"/>
      <c r="H54" s="94"/>
      <c r="I54" s="94"/>
      <c r="J54" s="94"/>
      <c r="L54" s="126"/>
      <c r="M54" s="139"/>
    </row>
    <row r="55" spans="1:18" s="66" customFormat="1" outlineLevel="1" x14ac:dyDescent="0.3">
      <c r="A55" s="120" t="s">
        <v>78</v>
      </c>
      <c r="B55" s="121"/>
      <c r="C55" s="122">
        <f>C48*C52</f>
        <v>0</v>
      </c>
      <c r="D55" s="123">
        <f t="shared" ref="D55:J55" si="13">D48*D52</f>
        <v>0</v>
      </c>
      <c r="E55" s="123">
        <f t="shared" si="13"/>
        <v>0</v>
      </c>
      <c r="F55" s="123">
        <f t="shared" si="13"/>
        <v>0</v>
      </c>
      <c r="G55" s="123">
        <f t="shared" si="13"/>
        <v>0</v>
      </c>
      <c r="H55" s="123">
        <f t="shared" si="13"/>
        <v>0</v>
      </c>
      <c r="I55" s="123"/>
      <c r="J55" s="123">
        <f t="shared" si="13"/>
        <v>0</v>
      </c>
      <c r="K55" s="125"/>
      <c r="L55" s="126" t="s">
        <v>79</v>
      </c>
      <c r="M55" s="139"/>
      <c r="N55" s="7"/>
    </row>
    <row r="56" spans="1:18" s="66" customFormat="1" outlineLevel="1" x14ac:dyDescent="0.3">
      <c r="A56" s="127" t="s">
        <v>80</v>
      </c>
      <c r="B56" s="128"/>
      <c r="C56" s="129">
        <f>C48*C50</f>
        <v>0</v>
      </c>
      <c r="D56" s="130">
        <f t="shared" ref="D56:J56" si="14">D48*D50</f>
        <v>0</v>
      </c>
      <c r="E56" s="130">
        <f t="shared" si="14"/>
        <v>0</v>
      </c>
      <c r="F56" s="130">
        <f t="shared" si="14"/>
        <v>0</v>
      </c>
      <c r="G56" s="130">
        <f t="shared" si="14"/>
        <v>0</v>
      </c>
      <c r="H56" s="130">
        <f t="shared" si="14"/>
        <v>0</v>
      </c>
      <c r="I56" s="130"/>
      <c r="J56" s="130">
        <f t="shared" si="14"/>
        <v>0</v>
      </c>
      <c r="K56" s="125"/>
      <c r="L56" s="126" t="s">
        <v>81</v>
      </c>
      <c r="M56" s="153"/>
      <c r="N56" s="7"/>
    </row>
    <row r="57" spans="1:18" s="66" customFormat="1" ht="14.5" outlineLevel="1" thickBot="1" x14ac:dyDescent="0.35">
      <c r="A57" s="132" t="s">
        <v>82</v>
      </c>
      <c r="B57" s="133" t="s">
        <v>83</v>
      </c>
      <c r="C57" s="134">
        <f>C55-C56</f>
        <v>0</v>
      </c>
      <c r="D57" s="135">
        <f>D55-D56</f>
        <v>0</v>
      </c>
      <c r="E57" s="135">
        <f t="shared" ref="E57:J57" si="15">E55-E56</f>
        <v>0</v>
      </c>
      <c r="F57" s="135">
        <f t="shared" si="15"/>
        <v>0</v>
      </c>
      <c r="G57" s="135">
        <f t="shared" si="15"/>
        <v>0</v>
      </c>
      <c r="H57" s="135">
        <f t="shared" si="15"/>
        <v>0</v>
      </c>
      <c r="I57" s="135"/>
      <c r="J57" s="135">
        <f t="shared" si="15"/>
        <v>0</v>
      </c>
      <c r="K57" s="137"/>
      <c r="L57" s="126"/>
      <c r="M57" s="153"/>
      <c r="N57" s="7"/>
    </row>
    <row r="58" spans="1:18" ht="14.5" outlineLevel="1" thickTop="1" x14ac:dyDescent="0.3">
      <c r="A58" s="138"/>
      <c r="B58" s="66"/>
      <c r="C58" s="139"/>
      <c r="D58" s="139"/>
      <c r="E58" s="139"/>
      <c r="F58" s="139"/>
      <c r="G58" s="139"/>
      <c r="H58" s="139"/>
      <c r="I58" s="139"/>
      <c r="J58" s="139"/>
      <c r="K58" s="139"/>
      <c r="L58" s="139"/>
      <c r="R58" s="66"/>
    </row>
    <row r="59" spans="1:18" x14ac:dyDescent="0.3">
      <c r="R59" s="66"/>
    </row>
    <row r="60" spans="1:18" s="6" customFormat="1" ht="26.15" customHeight="1" x14ac:dyDescent="0.3">
      <c r="A60" s="51" t="s">
        <v>84</v>
      </c>
      <c r="B60" s="52"/>
      <c r="C60" s="52"/>
      <c r="D60" s="52"/>
      <c r="E60" s="52"/>
      <c r="F60" s="52"/>
      <c r="G60" s="52"/>
      <c r="H60" s="52"/>
      <c r="I60" s="52"/>
      <c r="J60" s="52"/>
      <c r="K60" s="52"/>
      <c r="L60" s="53"/>
      <c r="M60" s="54"/>
      <c r="N60" s="55"/>
      <c r="O60" s="56"/>
      <c r="P60" s="56"/>
    </row>
    <row r="61" spans="1:18" s="66" customFormat="1" ht="26" outlineLevel="1" x14ac:dyDescent="0.3">
      <c r="A61" s="154"/>
      <c r="B61" s="61" t="s">
        <v>85</v>
      </c>
      <c r="C61" s="62" t="s">
        <v>86</v>
      </c>
      <c r="D61" s="155" t="s">
        <v>87</v>
      </c>
      <c r="E61" s="155" t="s">
        <v>88</v>
      </c>
      <c r="F61" s="155" t="s">
        <v>89</v>
      </c>
      <c r="G61" s="155" t="s">
        <v>90</v>
      </c>
      <c r="H61" s="155" t="s">
        <v>91</v>
      </c>
      <c r="I61" s="156"/>
      <c r="J61" s="157" t="s">
        <v>92</v>
      </c>
      <c r="K61" s="63" t="s">
        <v>93</v>
      </c>
      <c r="L61" s="158" t="s">
        <v>94</v>
      </c>
      <c r="M61" s="159" t="s">
        <v>95</v>
      </c>
      <c r="N61" s="64" t="s">
        <v>96</v>
      </c>
      <c r="O61" s="65"/>
      <c r="P61" s="65"/>
    </row>
    <row r="62" spans="1:18" s="8" customFormat="1" ht="14.25" customHeight="1" outlineLevel="1" x14ac:dyDescent="0.3">
      <c r="A62" s="160" t="s">
        <v>97</v>
      </c>
      <c r="B62" s="161"/>
      <c r="C62" s="162"/>
      <c r="D62" s="162"/>
      <c r="E62" s="162"/>
      <c r="F62" s="162"/>
      <c r="G62" s="162"/>
      <c r="H62" s="162"/>
      <c r="I62" s="162"/>
      <c r="J62" s="163"/>
      <c r="K62" s="164" t="s">
        <v>98</v>
      </c>
      <c r="L62" s="165"/>
      <c r="M62" s="165"/>
      <c r="N62" s="166"/>
      <c r="O62" s="164"/>
      <c r="P62" s="164"/>
    </row>
    <row r="63" spans="1:18" s="8" customFormat="1" ht="4.5" customHeight="1" outlineLevel="1" x14ac:dyDescent="0.3">
      <c r="B63" s="167"/>
      <c r="C63" s="168"/>
      <c r="D63" s="168"/>
      <c r="E63" s="168"/>
      <c r="F63" s="168"/>
      <c r="G63" s="168"/>
      <c r="H63" s="168"/>
      <c r="I63" s="168"/>
      <c r="J63" s="169"/>
      <c r="L63" s="170"/>
      <c r="M63" s="170"/>
    </row>
    <row r="64" spans="1:18" s="66" customFormat="1" ht="13" outlineLevel="1" x14ac:dyDescent="0.3">
      <c r="A64" s="66" t="s">
        <v>99</v>
      </c>
      <c r="B64" s="171">
        <v>0.15</v>
      </c>
      <c r="J64" s="172"/>
      <c r="L64" s="173" t="s">
        <v>100</v>
      </c>
      <c r="M64" s="173" t="s">
        <v>101</v>
      </c>
    </row>
    <row r="65" spans="1:16" s="66" customFormat="1" ht="13" outlineLevel="1" x14ac:dyDescent="0.3">
      <c r="A65" s="138" t="s">
        <v>102</v>
      </c>
      <c r="B65" s="128"/>
      <c r="J65" s="172"/>
      <c r="L65" s="173"/>
      <c r="M65" s="173"/>
    </row>
    <row r="66" spans="1:16" s="66" customFormat="1" ht="13" outlineLevel="1" x14ac:dyDescent="0.3">
      <c r="A66" s="174" t="s">
        <v>103</v>
      </c>
      <c r="B66" s="128" t="s">
        <v>104</v>
      </c>
      <c r="C66" s="175">
        <v>3000</v>
      </c>
      <c r="D66" s="175">
        <v>3500</v>
      </c>
      <c r="E66" s="175">
        <v>3500</v>
      </c>
      <c r="F66" s="175">
        <v>3500</v>
      </c>
      <c r="G66" s="175">
        <v>3500</v>
      </c>
      <c r="H66" s="175">
        <v>3500</v>
      </c>
      <c r="I66" s="175"/>
      <c r="J66" s="176">
        <v>3500</v>
      </c>
      <c r="L66" s="173"/>
      <c r="M66" s="173"/>
    </row>
    <row r="67" spans="1:16" s="66" customFormat="1" ht="13" outlineLevel="1" x14ac:dyDescent="0.3">
      <c r="A67" s="174" t="s">
        <v>105</v>
      </c>
      <c r="B67" s="128" t="s">
        <v>106</v>
      </c>
      <c r="C67" s="175"/>
      <c r="D67" s="175"/>
      <c r="E67" s="175"/>
      <c r="F67" s="175"/>
      <c r="G67" s="175"/>
      <c r="H67" s="175"/>
      <c r="I67" s="175"/>
      <c r="J67" s="176"/>
      <c r="L67" s="173"/>
      <c r="M67" s="173"/>
    </row>
    <row r="68" spans="1:16" s="66" customFormat="1" ht="3" customHeight="1" outlineLevel="1" x14ac:dyDescent="0.3">
      <c r="B68" s="128"/>
      <c r="J68" s="172"/>
      <c r="L68" s="173"/>
      <c r="M68" s="173"/>
    </row>
    <row r="69" spans="1:16" s="66" customFormat="1" ht="13" outlineLevel="1" x14ac:dyDescent="0.3">
      <c r="A69" s="138" t="s">
        <v>107</v>
      </c>
      <c r="B69" s="128"/>
      <c r="J69" s="172"/>
      <c r="L69" s="173"/>
      <c r="M69" s="173"/>
    </row>
    <row r="70" spans="1:16" s="66" customFormat="1" ht="13" outlineLevel="1" x14ac:dyDescent="0.3">
      <c r="A70" s="174" t="s">
        <v>108</v>
      </c>
      <c r="B70" s="128" t="s">
        <v>109</v>
      </c>
      <c r="C70" s="177">
        <v>0.15</v>
      </c>
      <c r="D70" s="177">
        <v>0.3</v>
      </c>
      <c r="E70" s="177">
        <v>0.3</v>
      </c>
      <c r="F70" s="177">
        <v>0.3</v>
      </c>
      <c r="G70" s="177">
        <v>0.3</v>
      </c>
      <c r="H70" s="177">
        <v>0.4</v>
      </c>
      <c r="I70" s="177"/>
      <c r="J70" s="178">
        <v>0.4</v>
      </c>
      <c r="L70" s="173"/>
      <c r="M70" s="173"/>
    </row>
    <row r="71" spans="1:16" s="66" customFormat="1" ht="13" outlineLevel="1" x14ac:dyDescent="0.3">
      <c r="A71" s="174" t="s">
        <v>110</v>
      </c>
      <c r="B71" s="128" t="s">
        <v>111</v>
      </c>
      <c r="C71" s="177"/>
      <c r="D71" s="177"/>
      <c r="E71" s="177"/>
      <c r="F71" s="177"/>
      <c r="G71" s="177"/>
      <c r="H71" s="177"/>
      <c r="I71" s="177"/>
      <c r="J71" s="178"/>
      <c r="L71" s="173"/>
      <c r="M71" s="173"/>
    </row>
    <row r="72" spans="1:16" s="8" customFormat="1" ht="4.5" customHeight="1" outlineLevel="1" x14ac:dyDescent="0.3">
      <c r="B72" s="167"/>
      <c r="C72" s="168"/>
      <c r="D72" s="168"/>
      <c r="E72" s="168"/>
      <c r="F72" s="168"/>
      <c r="G72" s="168"/>
      <c r="H72" s="168"/>
      <c r="I72" s="168"/>
      <c r="J72" s="169"/>
      <c r="L72" s="170"/>
      <c r="M72" s="170"/>
    </row>
    <row r="73" spans="1:16" s="8" customFormat="1" ht="14.15" customHeight="1" outlineLevel="1" x14ac:dyDescent="0.3">
      <c r="A73" s="179" t="s">
        <v>112</v>
      </c>
      <c r="B73" s="180" t="s">
        <v>113</v>
      </c>
      <c r="C73" s="164">
        <f t="shared" ref="C73:J73" si="16">IFERROR(C75*12*C76,"N/A")</f>
        <v>0</v>
      </c>
      <c r="D73" s="164">
        <f t="shared" si="16"/>
        <v>600</v>
      </c>
      <c r="E73" s="164">
        <f t="shared" si="16"/>
        <v>600</v>
      </c>
      <c r="F73" s="164">
        <f t="shared" si="16"/>
        <v>600</v>
      </c>
      <c r="G73" s="164">
        <f t="shared" si="16"/>
        <v>600</v>
      </c>
      <c r="H73" s="164">
        <f t="shared" si="16"/>
        <v>600</v>
      </c>
      <c r="I73" s="164"/>
      <c r="J73" s="181">
        <f t="shared" si="16"/>
        <v>600</v>
      </c>
      <c r="K73" s="164" t="s">
        <v>114</v>
      </c>
      <c r="L73" s="182"/>
      <c r="M73" s="182"/>
      <c r="N73" s="166"/>
      <c r="O73" s="164"/>
      <c r="P73" s="164"/>
    </row>
    <row r="74" spans="1:16" s="8" customFormat="1" ht="4.5" customHeight="1" outlineLevel="1" x14ac:dyDescent="0.3">
      <c r="B74" s="167"/>
      <c r="C74" s="168"/>
      <c r="D74" s="168"/>
      <c r="E74" s="168"/>
      <c r="F74" s="168"/>
      <c r="G74" s="168"/>
      <c r="H74" s="168"/>
      <c r="I74" s="168"/>
      <c r="J74" s="169"/>
      <c r="L74" s="170"/>
      <c r="M74" s="170"/>
    </row>
    <row r="75" spans="1:16" s="66" customFormat="1" ht="13" outlineLevel="1" x14ac:dyDescent="0.3">
      <c r="A75" s="183" t="s">
        <v>115</v>
      </c>
      <c r="B75" s="128" t="s">
        <v>116</v>
      </c>
      <c r="C75" s="175"/>
      <c r="D75" s="175">
        <v>10000</v>
      </c>
      <c r="E75" s="175">
        <v>10000</v>
      </c>
      <c r="F75" s="175">
        <v>10000</v>
      </c>
      <c r="G75" s="175">
        <v>10000</v>
      </c>
      <c r="H75" s="175">
        <v>10000</v>
      </c>
      <c r="I75" s="175"/>
      <c r="J75" s="176">
        <v>10000</v>
      </c>
      <c r="L75" s="173"/>
      <c r="M75" s="173"/>
    </row>
    <row r="76" spans="1:16" s="66" customFormat="1" ht="13" outlineLevel="1" x14ac:dyDescent="0.3">
      <c r="A76" s="174" t="s">
        <v>117</v>
      </c>
      <c r="B76" s="128" t="s">
        <v>118</v>
      </c>
      <c r="C76" s="184"/>
      <c r="D76" s="184">
        <v>5.0000000000000001E-3</v>
      </c>
      <c r="E76" s="184">
        <v>5.0000000000000001E-3</v>
      </c>
      <c r="F76" s="184">
        <v>5.0000000000000001E-3</v>
      </c>
      <c r="G76" s="184">
        <v>5.0000000000000001E-3</v>
      </c>
      <c r="H76" s="184">
        <v>5.0000000000000001E-3</v>
      </c>
      <c r="I76" s="184"/>
      <c r="J76" s="185">
        <v>5.0000000000000001E-3</v>
      </c>
      <c r="K76" s="66" t="s">
        <v>119</v>
      </c>
      <c r="L76" s="173"/>
      <c r="M76" s="173"/>
    </row>
    <row r="77" spans="1:16" s="8" customFormat="1" ht="4.5" customHeight="1" outlineLevel="1" x14ac:dyDescent="0.3">
      <c r="B77" s="167"/>
      <c r="C77" s="168"/>
      <c r="D77" s="168"/>
      <c r="E77" s="168"/>
      <c r="F77" s="168"/>
      <c r="G77" s="168"/>
      <c r="H77" s="168"/>
      <c r="I77" s="168"/>
      <c r="J77" s="169"/>
      <c r="L77" s="170"/>
      <c r="M77" s="170"/>
    </row>
    <row r="78" spans="1:16" s="8" customFormat="1" ht="14.25" customHeight="1" outlineLevel="1" x14ac:dyDescent="0.3">
      <c r="A78" s="179" t="s">
        <v>120</v>
      </c>
      <c r="B78" s="180"/>
      <c r="C78" s="164">
        <f>SUM(C79:C81)</f>
        <v>0</v>
      </c>
      <c r="D78" s="164">
        <f t="shared" ref="D78:J78" si="17">SUM(D79:D81)</f>
        <v>0</v>
      </c>
      <c r="E78" s="164">
        <f t="shared" si="17"/>
        <v>0</v>
      </c>
      <c r="F78" s="164">
        <f t="shared" si="17"/>
        <v>0</v>
      </c>
      <c r="G78" s="164">
        <f t="shared" si="17"/>
        <v>0</v>
      </c>
      <c r="H78" s="164">
        <f t="shared" si="17"/>
        <v>0</v>
      </c>
      <c r="I78" s="164"/>
      <c r="J78" s="164">
        <f t="shared" si="17"/>
        <v>0</v>
      </c>
      <c r="K78" s="164" t="s">
        <v>121</v>
      </c>
      <c r="L78" s="182"/>
      <c r="M78" s="182" t="s">
        <v>122</v>
      </c>
      <c r="N78" s="166"/>
      <c r="O78" s="164"/>
      <c r="P78" s="164"/>
    </row>
    <row r="79" spans="1:16" s="8" customFormat="1" ht="4.5" customHeight="1" outlineLevel="1" x14ac:dyDescent="0.3">
      <c r="B79" s="167"/>
      <c r="C79" s="168"/>
      <c r="D79" s="168"/>
      <c r="E79" s="168"/>
      <c r="F79" s="168"/>
      <c r="G79" s="168"/>
      <c r="H79" s="168"/>
      <c r="I79" s="168"/>
      <c r="J79" s="169"/>
      <c r="L79" s="170"/>
      <c r="M79" s="170"/>
    </row>
    <row r="80" spans="1:16" outlineLevel="1" x14ac:dyDescent="0.3">
      <c r="A80" s="183" t="s">
        <v>123</v>
      </c>
      <c r="B80" s="186" t="s">
        <v>124</v>
      </c>
      <c r="C80" s="187">
        <f>IFERROR('Sources de financement'!E173,"N/A")</f>
        <v>0</v>
      </c>
      <c r="D80" s="187">
        <f>IFERROR('Sources de financement'!F173,"N/A")</f>
        <v>0</v>
      </c>
      <c r="E80" s="187">
        <f>IFERROR('Sources de financement'!G173,"N/A")</f>
        <v>0</v>
      </c>
      <c r="F80" s="187">
        <f>IFERROR('Sources de financement'!H173,"N/A")</f>
        <v>0</v>
      </c>
      <c r="G80" s="187">
        <f>IFERROR('Sources de financement'!I173,"N/A")</f>
        <v>0</v>
      </c>
      <c r="H80" s="187">
        <f>IFERROR('Sources de financement'!J173,"N/A")</f>
        <v>0</v>
      </c>
      <c r="I80" s="187"/>
      <c r="J80" s="188">
        <f>IFERROR('Sources de financement'!L173,"N/A")</f>
        <v>0</v>
      </c>
      <c r="K80" s="189" t="s">
        <v>125</v>
      </c>
      <c r="L80" s="190"/>
      <c r="M80" s="190"/>
    </row>
    <row r="81" spans="1:16" outlineLevel="1" x14ac:dyDescent="0.3">
      <c r="A81" s="183" t="s">
        <v>126</v>
      </c>
      <c r="B81" s="186" t="s">
        <v>127</v>
      </c>
      <c r="C81" s="175"/>
      <c r="D81" s="175"/>
      <c r="E81" s="175"/>
      <c r="F81" s="175"/>
      <c r="G81" s="175"/>
      <c r="H81" s="175"/>
      <c r="I81" s="175"/>
      <c r="J81" s="176"/>
      <c r="K81" s="189"/>
      <c r="L81" s="190"/>
      <c r="M81" s="190"/>
    </row>
    <row r="82" spans="1:16" s="8" customFormat="1" ht="4.5" customHeight="1" outlineLevel="1" x14ac:dyDescent="0.3">
      <c r="B82" s="167"/>
      <c r="C82" s="168"/>
      <c r="D82" s="168"/>
      <c r="E82" s="168"/>
      <c r="F82" s="168"/>
      <c r="G82" s="168"/>
      <c r="H82" s="168"/>
      <c r="I82" s="168"/>
      <c r="J82" s="169"/>
      <c r="L82" s="170"/>
      <c r="M82" s="170"/>
    </row>
    <row r="83" spans="1:16" s="8" customFormat="1" ht="14.25" customHeight="1" outlineLevel="1" x14ac:dyDescent="0.3">
      <c r="A83" s="179" t="s">
        <v>128</v>
      </c>
      <c r="B83" s="180" t="s">
        <v>129</v>
      </c>
      <c r="C83" s="164">
        <f t="shared" ref="C83:J83" si="18">IFERROR(C85*C86,"N/A")</f>
        <v>0</v>
      </c>
      <c r="D83" s="164">
        <f t="shared" si="18"/>
        <v>1000</v>
      </c>
      <c r="E83" s="164">
        <f t="shared" si="18"/>
        <v>1000</v>
      </c>
      <c r="F83" s="164">
        <f t="shared" si="18"/>
        <v>1000</v>
      </c>
      <c r="G83" s="164">
        <f t="shared" si="18"/>
        <v>1000</v>
      </c>
      <c r="H83" s="164">
        <f t="shared" si="18"/>
        <v>1000</v>
      </c>
      <c r="I83" s="164"/>
      <c r="J83" s="181">
        <f t="shared" si="18"/>
        <v>1000</v>
      </c>
      <c r="K83" s="164" t="s">
        <v>130</v>
      </c>
      <c r="L83" s="182"/>
      <c r="M83" s="182"/>
      <c r="N83" s="166"/>
      <c r="O83" s="164"/>
      <c r="P83" s="164"/>
    </row>
    <row r="84" spans="1:16" s="8" customFormat="1" ht="4.5" customHeight="1" outlineLevel="1" x14ac:dyDescent="0.3">
      <c r="B84" s="167"/>
      <c r="C84" s="168"/>
      <c r="D84" s="168"/>
      <c r="E84" s="168"/>
      <c r="F84" s="168"/>
      <c r="G84" s="168"/>
      <c r="H84" s="168"/>
      <c r="I84" s="168"/>
      <c r="J84" s="169"/>
      <c r="L84" s="170"/>
      <c r="M84" s="170"/>
    </row>
    <row r="85" spans="1:16" s="66" customFormat="1" ht="13" outlineLevel="1" x14ac:dyDescent="0.3">
      <c r="A85" s="183" t="s">
        <v>131</v>
      </c>
      <c r="B85" s="128" t="s">
        <v>132</v>
      </c>
      <c r="C85" s="175"/>
      <c r="D85" s="175">
        <v>10000</v>
      </c>
      <c r="E85" s="175">
        <v>10000</v>
      </c>
      <c r="F85" s="175">
        <v>10000</v>
      </c>
      <c r="G85" s="175">
        <v>10000</v>
      </c>
      <c r="H85" s="175">
        <v>10000</v>
      </c>
      <c r="I85" s="175"/>
      <c r="J85" s="176">
        <v>10000</v>
      </c>
      <c r="L85" s="173"/>
      <c r="M85" s="173"/>
    </row>
    <row r="86" spans="1:16" s="66" customFormat="1" ht="13" outlineLevel="1" x14ac:dyDescent="0.3">
      <c r="A86" s="174" t="s">
        <v>133</v>
      </c>
      <c r="B86" s="128" t="s">
        <v>134</v>
      </c>
      <c r="C86" s="177"/>
      <c r="D86" s="177">
        <v>0.1</v>
      </c>
      <c r="E86" s="177">
        <v>0.1</v>
      </c>
      <c r="F86" s="177">
        <v>0.1</v>
      </c>
      <c r="G86" s="177">
        <v>0.1</v>
      </c>
      <c r="H86" s="177">
        <v>0.1</v>
      </c>
      <c r="I86" s="177"/>
      <c r="J86" s="178">
        <v>0.1</v>
      </c>
      <c r="K86" s="66" t="s">
        <v>135</v>
      </c>
      <c r="L86" s="173"/>
      <c r="M86" s="173"/>
    </row>
    <row r="87" spans="1:16" s="8" customFormat="1" ht="4.5" customHeight="1" outlineLevel="1" x14ac:dyDescent="0.3">
      <c r="B87" s="167"/>
      <c r="C87" s="168"/>
      <c r="D87" s="168"/>
      <c r="E87" s="168"/>
      <c r="F87" s="168"/>
      <c r="G87" s="168"/>
      <c r="H87" s="168"/>
      <c r="I87" s="168"/>
      <c r="J87" s="169"/>
      <c r="L87" s="170"/>
      <c r="M87" s="170"/>
    </row>
    <row r="88" spans="1:16" s="8" customFormat="1" ht="14.25" customHeight="1" outlineLevel="1" x14ac:dyDescent="0.3">
      <c r="A88" s="179" t="s">
        <v>136</v>
      </c>
      <c r="B88" s="180" t="s">
        <v>137</v>
      </c>
      <c r="C88" s="164">
        <f t="shared" ref="C88:J88" si="19">IFERROR(C90*C91,"N/A")</f>
        <v>0</v>
      </c>
      <c r="D88" s="164">
        <f t="shared" si="19"/>
        <v>1000</v>
      </c>
      <c r="E88" s="164">
        <f t="shared" si="19"/>
        <v>1000</v>
      </c>
      <c r="F88" s="164">
        <f t="shared" si="19"/>
        <v>1000</v>
      </c>
      <c r="G88" s="164">
        <f t="shared" si="19"/>
        <v>1000</v>
      </c>
      <c r="H88" s="164">
        <f t="shared" si="19"/>
        <v>1000</v>
      </c>
      <c r="I88" s="164"/>
      <c r="J88" s="181">
        <f t="shared" si="19"/>
        <v>1000</v>
      </c>
      <c r="K88" s="164" t="s">
        <v>138</v>
      </c>
      <c r="L88" s="182"/>
      <c r="M88" s="182"/>
      <c r="N88" s="166"/>
      <c r="O88" s="164"/>
      <c r="P88" s="164"/>
    </row>
    <row r="89" spans="1:16" s="8" customFormat="1" ht="4.5" customHeight="1" outlineLevel="1" x14ac:dyDescent="0.3">
      <c r="B89" s="167"/>
      <c r="C89" s="168"/>
      <c r="D89" s="168"/>
      <c r="E89" s="168"/>
      <c r="F89" s="168"/>
      <c r="G89" s="168"/>
      <c r="H89" s="168"/>
      <c r="I89" s="168"/>
      <c r="J89" s="169"/>
      <c r="L89" s="170"/>
      <c r="M89" s="170"/>
    </row>
    <row r="90" spans="1:16" s="66" customFormat="1" ht="13" outlineLevel="1" x14ac:dyDescent="0.3">
      <c r="A90" s="183" t="s">
        <v>139</v>
      </c>
      <c r="B90" s="128" t="s">
        <v>140</v>
      </c>
      <c r="C90" s="175"/>
      <c r="D90" s="175">
        <v>10000</v>
      </c>
      <c r="E90" s="175">
        <v>10000</v>
      </c>
      <c r="F90" s="175">
        <v>10000</v>
      </c>
      <c r="G90" s="175">
        <v>10000</v>
      </c>
      <c r="H90" s="175">
        <v>10000</v>
      </c>
      <c r="I90" s="175"/>
      <c r="J90" s="176">
        <v>10000</v>
      </c>
      <c r="L90" s="173"/>
      <c r="M90" s="173"/>
    </row>
    <row r="91" spans="1:16" s="66" customFormat="1" ht="13" outlineLevel="1" x14ac:dyDescent="0.3">
      <c r="A91" s="174" t="s">
        <v>141</v>
      </c>
      <c r="B91" s="128" t="s">
        <v>142</v>
      </c>
      <c r="C91" s="177"/>
      <c r="D91" s="177">
        <v>0.1</v>
      </c>
      <c r="E91" s="177">
        <v>0.1</v>
      </c>
      <c r="F91" s="177">
        <v>0.1</v>
      </c>
      <c r="G91" s="177">
        <v>0.1</v>
      </c>
      <c r="H91" s="177">
        <v>0.1</v>
      </c>
      <c r="I91" s="177"/>
      <c r="J91" s="178">
        <v>0.1</v>
      </c>
      <c r="K91" s="66" t="s">
        <v>143</v>
      </c>
      <c r="L91" s="173"/>
      <c r="M91" s="173"/>
    </row>
    <row r="92" spans="1:16" s="8" customFormat="1" ht="4.5" customHeight="1" outlineLevel="1" x14ac:dyDescent="0.3">
      <c r="B92" s="167"/>
      <c r="C92" s="168"/>
      <c r="D92" s="168"/>
      <c r="E92" s="168"/>
      <c r="F92" s="168"/>
      <c r="G92" s="168"/>
      <c r="H92" s="168"/>
      <c r="I92" s="168"/>
      <c r="J92" s="169"/>
      <c r="L92" s="170"/>
      <c r="M92" s="170"/>
    </row>
    <row r="93" spans="1:16" s="8" customFormat="1" ht="14.25" customHeight="1" outlineLevel="1" x14ac:dyDescent="0.3">
      <c r="A93" s="179" t="s">
        <v>144</v>
      </c>
      <c r="B93" s="180"/>
      <c r="C93" s="191">
        <f>SUM(C95:C96)</f>
        <v>0</v>
      </c>
      <c r="D93" s="191">
        <f t="shared" ref="D93:J93" si="20">SUM(D95:D96)</f>
        <v>0</v>
      </c>
      <c r="E93" s="191">
        <f t="shared" si="20"/>
        <v>0</v>
      </c>
      <c r="F93" s="191">
        <f t="shared" si="20"/>
        <v>0</v>
      </c>
      <c r="G93" s="191">
        <f t="shared" si="20"/>
        <v>0</v>
      </c>
      <c r="H93" s="191">
        <f t="shared" si="20"/>
        <v>0</v>
      </c>
      <c r="I93" s="191"/>
      <c r="J93" s="191">
        <f t="shared" si="20"/>
        <v>0</v>
      </c>
      <c r="K93" s="164" t="s">
        <v>145</v>
      </c>
      <c r="L93" s="182"/>
      <c r="M93" s="182" t="s">
        <v>146</v>
      </c>
      <c r="N93" s="166"/>
      <c r="O93" s="164"/>
      <c r="P93" s="164"/>
    </row>
    <row r="94" spans="1:16" s="8" customFormat="1" ht="4.5" customHeight="1" outlineLevel="1" x14ac:dyDescent="0.3">
      <c r="B94" s="167"/>
      <c r="C94" s="168"/>
      <c r="D94" s="168"/>
      <c r="E94" s="168"/>
      <c r="F94" s="168"/>
      <c r="G94" s="168"/>
      <c r="H94" s="168"/>
      <c r="I94" s="168"/>
      <c r="J94" s="169"/>
      <c r="L94" s="170"/>
      <c r="M94" s="170"/>
    </row>
    <row r="95" spans="1:16" outlineLevel="1" x14ac:dyDescent="0.3">
      <c r="A95" s="138"/>
      <c r="B95" s="186" t="s">
        <v>147</v>
      </c>
      <c r="C95" s="192"/>
      <c r="D95" s="192"/>
      <c r="E95" s="192"/>
      <c r="F95" s="192"/>
      <c r="G95" s="192"/>
      <c r="H95" s="192"/>
      <c r="I95" s="192"/>
      <c r="J95" s="193"/>
      <c r="K95" s="189"/>
      <c r="L95" s="190"/>
      <c r="M95" s="190"/>
    </row>
    <row r="96" spans="1:16" outlineLevel="1" x14ac:dyDescent="0.3">
      <c r="A96" s="138"/>
      <c r="B96" s="186" t="s">
        <v>148</v>
      </c>
      <c r="C96" s="192"/>
      <c r="D96" s="192"/>
      <c r="E96" s="192"/>
      <c r="F96" s="192"/>
      <c r="G96" s="192"/>
      <c r="H96" s="192"/>
      <c r="I96" s="192"/>
      <c r="J96" s="193"/>
      <c r="K96" s="189"/>
      <c r="L96" s="190"/>
      <c r="M96" s="190"/>
    </row>
    <row r="97" spans="1:16" s="8" customFormat="1" ht="4.5" customHeight="1" outlineLevel="1" x14ac:dyDescent="0.3">
      <c r="B97" s="167"/>
      <c r="C97" s="168"/>
      <c r="D97" s="168"/>
      <c r="E97" s="168"/>
      <c r="F97" s="168"/>
      <c r="G97" s="168"/>
      <c r="H97" s="168"/>
      <c r="I97" s="168"/>
      <c r="J97" s="169"/>
      <c r="L97" s="170"/>
      <c r="M97" s="170"/>
    </row>
    <row r="98" spans="1:16" s="8" customFormat="1" ht="14.25" customHeight="1" outlineLevel="1" x14ac:dyDescent="0.3">
      <c r="A98" s="179" t="s">
        <v>149</v>
      </c>
      <c r="B98" s="180" t="s">
        <v>150</v>
      </c>
      <c r="C98" s="164">
        <f>IFERROR(C100*C99,"N/A")</f>
        <v>0</v>
      </c>
      <c r="D98" s="164">
        <f>IFERROR(D100*D99,"N/A")</f>
        <v>600</v>
      </c>
      <c r="E98" s="164">
        <f t="shared" ref="E98:J98" si="21">IFERROR(E100*E99,"N/A")</f>
        <v>600</v>
      </c>
      <c r="F98" s="164">
        <f t="shared" si="21"/>
        <v>600</v>
      </c>
      <c r="G98" s="164">
        <f t="shared" si="21"/>
        <v>600</v>
      </c>
      <c r="H98" s="164">
        <f t="shared" si="21"/>
        <v>600</v>
      </c>
      <c r="I98" s="164"/>
      <c r="J98" s="181">
        <f t="shared" si="21"/>
        <v>600</v>
      </c>
      <c r="K98" s="164" t="s">
        <v>151</v>
      </c>
      <c r="L98" s="182"/>
      <c r="M98" s="182"/>
      <c r="N98" s="166"/>
      <c r="O98" s="164"/>
      <c r="P98" s="164"/>
    </row>
    <row r="99" spans="1:16" s="66" customFormat="1" ht="13" outlineLevel="1" x14ac:dyDescent="0.3">
      <c r="A99" s="183" t="s">
        <v>152</v>
      </c>
      <c r="B99" s="128" t="s">
        <v>153</v>
      </c>
      <c r="C99" s="175"/>
      <c r="D99" s="175">
        <f t="shared" ref="D99:J99" si="22">12*500</f>
        <v>6000</v>
      </c>
      <c r="E99" s="175">
        <f t="shared" si="22"/>
        <v>6000</v>
      </c>
      <c r="F99" s="175">
        <f t="shared" si="22"/>
        <v>6000</v>
      </c>
      <c r="G99" s="175">
        <f t="shared" si="22"/>
        <v>6000</v>
      </c>
      <c r="H99" s="175">
        <f t="shared" si="22"/>
        <v>6000</v>
      </c>
      <c r="I99" s="175"/>
      <c r="J99" s="176">
        <f t="shared" si="22"/>
        <v>6000</v>
      </c>
      <c r="L99" s="173"/>
      <c r="M99" s="173"/>
    </row>
    <row r="100" spans="1:16" s="66" customFormat="1" ht="13" outlineLevel="1" x14ac:dyDescent="0.3">
      <c r="A100" s="174" t="s">
        <v>154</v>
      </c>
      <c r="B100" s="128" t="s">
        <v>155</v>
      </c>
      <c r="C100" s="177"/>
      <c r="D100" s="177">
        <v>0.1</v>
      </c>
      <c r="E100" s="177">
        <v>0.1</v>
      </c>
      <c r="F100" s="177">
        <v>0.1</v>
      </c>
      <c r="G100" s="177">
        <v>0.1</v>
      </c>
      <c r="H100" s="177">
        <v>0.1</v>
      </c>
      <c r="I100" s="177"/>
      <c r="J100" s="178">
        <v>0.1</v>
      </c>
      <c r="K100" s="66" t="s">
        <v>156</v>
      </c>
      <c r="L100" s="173"/>
      <c r="M100" s="173"/>
    </row>
    <row r="101" spans="1:16" s="8" customFormat="1" ht="4.5" customHeight="1" outlineLevel="1" x14ac:dyDescent="0.3">
      <c r="B101" s="167"/>
      <c r="C101" s="168"/>
      <c r="D101" s="168"/>
      <c r="E101" s="168"/>
      <c r="F101" s="168"/>
      <c r="G101" s="168"/>
      <c r="H101" s="168"/>
      <c r="I101" s="168"/>
      <c r="J101" s="169"/>
      <c r="L101" s="170"/>
      <c r="M101" s="170"/>
    </row>
    <row r="102" spans="1:16" s="8" customFormat="1" ht="14.25" customHeight="1" outlineLevel="1" x14ac:dyDescent="0.3">
      <c r="A102" s="179" t="s">
        <v>157</v>
      </c>
      <c r="B102" s="180" t="s">
        <v>158</v>
      </c>
      <c r="C102" s="191">
        <f>C104+C108+C111+C113</f>
        <v>0</v>
      </c>
      <c r="D102" s="191">
        <f>D104+D108+D111+D113</f>
        <v>2550</v>
      </c>
      <c r="E102" s="191">
        <f t="shared" ref="E102:J102" si="23">E104+E108+E111+E113</f>
        <v>2550</v>
      </c>
      <c r="F102" s="191">
        <f t="shared" si="23"/>
        <v>2250</v>
      </c>
      <c r="G102" s="191">
        <f t="shared" si="23"/>
        <v>2100</v>
      </c>
      <c r="H102" s="191">
        <f t="shared" si="23"/>
        <v>2150</v>
      </c>
      <c r="I102" s="191"/>
      <c r="J102" s="191">
        <f t="shared" si="23"/>
        <v>2150</v>
      </c>
      <c r="K102" s="164" t="s">
        <v>159</v>
      </c>
      <c r="L102" s="182"/>
      <c r="M102" s="182"/>
      <c r="N102" s="166"/>
      <c r="O102" s="164"/>
      <c r="P102" s="164"/>
    </row>
    <row r="103" spans="1:16" s="8" customFormat="1" ht="4.5" customHeight="1" outlineLevel="1" x14ac:dyDescent="0.3">
      <c r="B103" s="167"/>
      <c r="C103" s="168"/>
      <c r="D103" s="168"/>
      <c r="E103" s="168"/>
      <c r="F103" s="168"/>
      <c r="G103" s="168"/>
      <c r="H103" s="168"/>
      <c r="I103" s="168"/>
      <c r="J103" s="169"/>
      <c r="L103" s="170"/>
      <c r="M103" s="170"/>
    </row>
    <row r="104" spans="1:16" s="66" customFormat="1" ht="13" outlineLevel="1" x14ac:dyDescent="0.3">
      <c r="A104" s="194" t="s">
        <v>160</v>
      </c>
      <c r="B104" s="128"/>
      <c r="C104" s="153">
        <f>C105*C106</f>
        <v>0</v>
      </c>
      <c r="D104" s="153">
        <f t="shared" ref="D104:J104" si="24">D105*D106</f>
        <v>150</v>
      </c>
      <c r="E104" s="153">
        <f t="shared" si="24"/>
        <v>150</v>
      </c>
      <c r="F104" s="153">
        <f t="shared" si="24"/>
        <v>150</v>
      </c>
      <c r="G104" s="153">
        <f t="shared" si="24"/>
        <v>150</v>
      </c>
      <c r="H104" s="153">
        <f t="shared" si="24"/>
        <v>200</v>
      </c>
      <c r="I104" s="153"/>
      <c r="J104" s="195">
        <f t="shared" si="24"/>
        <v>200</v>
      </c>
      <c r="L104" s="173"/>
      <c r="M104" s="173"/>
    </row>
    <row r="105" spans="1:16" s="66" customFormat="1" ht="13" outlineLevel="1" x14ac:dyDescent="0.3">
      <c r="A105" s="174" t="s">
        <v>161</v>
      </c>
      <c r="B105" s="128" t="s">
        <v>162</v>
      </c>
      <c r="C105" s="175"/>
      <c r="D105" s="175">
        <v>500</v>
      </c>
      <c r="E105" s="175">
        <v>500</v>
      </c>
      <c r="F105" s="175">
        <v>500</v>
      </c>
      <c r="G105" s="175">
        <v>500</v>
      </c>
      <c r="H105" s="175">
        <v>500</v>
      </c>
      <c r="I105" s="175"/>
      <c r="J105" s="176">
        <v>500</v>
      </c>
      <c r="L105" s="173"/>
      <c r="M105" s="173"/>
    </row>
    <row r="106" spans="1:16" s="66" customFormat="1" ht="13" outlineLevel="1" x14ac:dyDescent="0.3">
      <c r="A106" s="174" t="s">
        <v>163</v>
      </c>
      <c r="B106" s="128" t="s">
        <v>164</v>
      </c>
      <c r="C106" s="196"/>
      <c r="D106" s="196">
        <f t="shared" ref="D106:J106" si="25">SUM(D70:D71)</f>
        <v>0.3</v>
      </c>
      <c r="E106" s="196">
        <f t="shared" si="25"/>
        <v>0.3</v>
      </c>
      <c r="F106" s="196">
        <f t="shared" si="25"/>
        <v>0.3</v>
      </c>
      <c r="G106" s="196">
        <f t="shared" si="25"/>
        <v>0.3</v>
      </c>
      <c r="H106" s="196">
        <f t="shared" si="25"/>
        <v>0.4</v>
      </c>
      <c r="I106" s="196"/>
      <c r="J106" s="197">
        <f t="shared" si="25"/>
        <v>0.4</v>
      </c>
      <c r="L106" s="173"/>
      <c r="M106" s="173"/>
    </row>
    <row r="107" spans="1:16" s="66" customFormat="1" ht="13" outlineLevel="1" x14ac:dyDescent="0.3">
      <c r="B107" s="128"/>
      <c r="C107" s="153"/>
      <c r="D107" s="153"/>
      <c r="E107" s="153"/>
      <c r="F107" s="153"/>
      <c r="G107" s="153"/>
      <c r="H107" s="153"/>
      <c r="I107" s="153"/>
      <c r="J107" s="195"/>
      <c r="L107" s="173"/>
      <c r="M107" s="173"/>
    </row>
    <row r="108" spans="1:16" s="66" customFormat="1" ht="13" outlineLevel="1" x14ac:dyDescent="0.3">
      <c r="A108" s="194" t="s">
        <v>165</v>
      </c>
      <c r="B108" s="128"/>
      <c r="C108" s="153">
        <f t="shared" ref="C108:J108" si="26">C109*12</f>
        <v>0</v>
      </c>
      <c r="D108" s="153">
        <f>D109*12</f>
        <v>1200</v>
      </c>
      <c r="E108" s="153">
        <f t="shared" si="26"/>
        <v>1200</v>
      </c>
      <c r="F108" s="153">
        <f t="shared" si="26"/>
        <v>1200</v>
      </c>
      <c r="G108" s="153">
        <f t="shared" si="26"/>
        <v>1200</v>
      </c>
      <c r="H108" s="153">
        <f t="shared" si="26"/>
        <v>1200</v>
      </c>
      <c r="I108" s="153"/>
      <c r="J108" s="195">
        <f t="shared" si="26"/>
        <v>1200</v>
      </c>
      <c r="K108" s="189"/>
      <c r="L108" s="173"/>
      <c r="M108" s="173"/>
    </row>
    <row r="109" spans="1:16" s="66" customFormat="1" ht="13" outlineLevel="1" x14ac:dyDescent="0.3">
      <c r="A109" s="66" t="s">
        <v>166</v>
      </c>
      <c r="B109" s="128" t="s">
        <v>167</v>
      </c>
      <c r="C109" s="175">
        <v>0</v>
      </c>
      <c r="D109" s="175">
        <v>100</v>
      </c>
      <c r="E109" s="175">
        <v>100</v>
      </c>
      <c r="F109" s="175">
        <v>100</v>
      </c>
      <c r="G109" s="175">
        <v>100</v>
      </c>
      <c r="H109" s="175">
        <v>100</v>
      </c>
      <c r="I109" s="175"/>
      <c r="J109" s="176">
        <v>100</v>
      </c>
      <c r="L109" s="173"/>
      <c r="M109" s="173"/>
    </row>
    <row r="110" spans="1:16" s="66" customFormat="1" ht="13" outlineLevel="1" x14ac:dyDescent="0.3">
      <c r="B110" s="128"/>
      <c r="J110" s="172"/>
      <c r="L110" s="173"/>
      <c r="M110" s="173"/>
    </row>
    <row r="111" spans="1:16" s="66" customFormat="1" ht="13" outlineLevel="1" x14ac:dyDescent="0.3">
      <c r="A111" s="138" t="s">
        <v>168</v>
      </c>
      <c r="B111" s="128" t="s">
        <v>169</v>
      </c>
      <c r="C111" s="153">
        <v>0</v>
      </c>
      <c r="D111" s="153">
        <v>300</v>
      </c>
      <c r="E111" s="153">
        <v>300</v>
      </c>
      <c r="F111" s="153">
        <v>300</v>
      </c>
      <c r="G111" s="153">
        <v>300</v>
      </c>
      <c r="H111" s="153">
        <v>300</v>
      </c>
      <c r="I111" s="153"/>
      <c r="J111" s="195">
        <v>300</v>
      </c>
      <c r="L111" s="173"/>
      <c r="M111" s="173"/>
    </row>
    <row r="112" spans="1:16" s="66" customFormat="1" ht="13" outlineLevel="1" x14ac:dyDescent="0.3">
      <c r="B112" s="128"/>
      <c r="C112" s="198"/>
      <c r="D112" s="198"/>
      <c r="E112" s="198"/>
      <c r="F112" s="198"/>
      <c r="G112" s="198"/>
      <c r="H112" s="198"/>
      <c r="I112" s="198"/>
      <c r="J112" s="199"/>
      <c r="L112" s="173"/>
      <c r="M112" s="173"/>
    </row>
    <row r="113" spans="1:16" s="66" customFormat="1" ht="13" outlineLevel="1" x14ac:dyDescent="0.3">
      <c r="A113" s="138" t="s">
        <v>170</v>
      </c>
      <c r="B113" s="128"/>
      <c r="C113" s="153">
        <f t="shared" ref="C113:J113" si="27">IFERROR(C114+C118,"N/A")</f>
        <v>0</v>
      </c>
      <c r="D113" s="153">
        <f t="shared" si="27"/>
        <v>900</v>
      </c>
      <c r="E113" s="153">
        <f t="shared" si="27"/>
        <v>900</v>
      </c>
      <c r="F113" s="153">
        <f t="shared" si="27"/>
        <v>600</v>
      </c>
      <c r="G113" s="153">
        <f t="shared" si="27"/>
        <v>450</v>
      </c>
      <c r="H113" s="153">
        <f t="shared" si="27"/>
        <v>450</v>
      </c>
      <c r="I113" s="153"/>
      <c r="J113" s="195">
        <f t="shared" si="27"/>
        <v>450</v>
      </c>
      <c r="K113" s="189"/>
      <c r="L113" s="173" t="s">
        <v>171</v>
      </c>
      <c r="M113" s="173"/>
    </row>
    <row r="114" spans="1:16" s="66" customFormat="1" ht="13" outlineLevel="1" x14ac:dyDescent="0.3">
      <c r="A114" s="174" t="s">
        <v>172</v>
      </c>
      <c r="B114" s="128"/>
      <c r="C114" s="187">
        <f t="shared" ref="C114:J114" si="28">IFERROR(C115*C116,"N/A")</f>
        <v>0</v>
      </c>
      <c r="D114" s="187">
        <f t="shared" si="28"/>
        <v>900</v>
      </c>
      <c r="E114" s="187">
        <f t="shared" si="28"/>
        <v>900</v>
      </c>
      <c r="F114" s="187">
        <f t="shared" si="28"/>
        <v>600</v>
      </c>
      <c r="G114" s="187">
        <f t="shared" si="28"/>
        <v>450</v>
      </c>
      <c r="H114" s="187">
        <f t="shared" si="28"/>
        <v>450</v>
      </c>
      <c r="I114" s="187"/>
      <c r="J114" s="188">
        <f t="shared" si="28"/>
        <v>450</v>
      </c>
      <c r="L114" s="173"/>
      <c r="M114" s="173"/>
    </row>
    <row r="115" spans="1:16" s="66" customFormat="1" outlineLevel="1" x14ac:dyDescent="0.3">
      <c r="A115" s="200" t="s">
        <v>173</v>
      </c>
      <c r="B115" s="128" t="s">
        <v>174</v>
      </c>
      <c r="C115" s="201">
        <v>0</v>
      </c>
      <c r="D115" s="201">
        <v>0.05</v>
      </c>
      <c r="E115" s="201">
        <v>0.05</v>
      </c>
      <c r="F115" s="201">
        <v>0.05</v>
      </c>
      <c r="G115" s="201">
        <v>0.05</v>
      </c>
      <c r="H115" s="201">
        <v>0.05</v>
      </c>
      <c r="I115" s="201"/>
      <c r="J115" s="202">
        <v>0.05</v>
      </c>
      <c r="K115" s="203"/>
      <c r="L115" s="204"/>
      <c r="M115" s="173"/>
    </row>
    <row r="116" spans="1:16" s="66" customFormat="1" ht="15.75" customHeight="1" outlineLevel="1" x14ac:dyDescent="0.3">
      <c r="A116" s="200" t="s">
        <v>175</v>
      </c>
      <c r="B116" s="128" t="s">
        <v>176</v>
      </c>
      <c r="C116" s="175">
        <v>0</v>
      </c>
      <c r="D116" s="175">
        <f>12*1500</f>
        <v>18000</v>
      </c>
      <c r="E116" s="175">
        <f>12*1500</f>
        <v>18000</v>
      </c>
      <c r="F116" s="175">
        <f>12*1000</f>
        <v>12000</v>
      </c>
      <c r="G116" s="175">
        <f>12*750</f>
        <v>9000</v>
      </c>
      <c r="H116" s="175">
        <f t="shared" ref="H116:J116" si="29">12*750</f>
        <v>9000</v>
      </c>
      <c r="I116" s="175"/>
      <c r="J116" s="176">
        <f t="shared" si="29"/>
        <v>9000</v>
      </c>
      <c r="L116" s="173"/>
      <c r="M116" s="173"/>
    </row>
    <row r="117" spans="1:16" s="66" customFormat="1" ht="13" outlineLevel="1" x14ac:dyDescent="0.3">
      <c r="B117" s="128"/>
      <c r="D117" s="198"/>
      <c r="E117" s="198"/>
      <c r="F117" s="198"/>
      <c r="G117" s="198"/>
      <c r="H117" s="198"/>
      <c r="I117" s="198"/>
      <c r="J117" s="199"/>
      <c r="L117" s="173"/>
      <c r="M117" s="173"/>
    </row>
    <row r="118" spans="1:16" s="66" customFormat="1" outlineLevel="1" x14ac:dyDescent="0.3">
      <c r="A118" s="174" t="s">
        <v>177</v>
      </c>
      <c r="B118" s="128"/>
      <c r="C118" s="187">
        <f t="shared" ref="C118:J118" si="30">C119*C120</f>
        <v>0</v>
      </c>
      <c r="D118" s="187">
        <f t="shared" si="30"/>
        <v>0</v>
      </c>
      <c r="E118" s="187">
        <f t="shared" si="30"/>
        <v>0</v>
      </c>
      <c r="F118" s="187">
        <f t="shared" si="30"/>
        <v>0</v>
      </c>
      <c r="G118" s="187">
        <f t="shared" si="30"/>
        <v>0</v>
      </c>
      <c r="H118" s="187">
        <f t="shared" si="30"/>
        <v>0</v>
      </c>
      <c r="I118" s="187"/>
      <c r="J118" s="188">
        <f t="shared" si="30"/>
        <v>0</v>
      </c>
      <c r="K118" s="203"/>
      <c r="L118" s="173"/>
      <c r="M118" s="173"/>
    </row>
    <row r="119" spans="1:16" s="66" customFormat="1" outlineLevel="1" x14ac:dyDescent="0.3">
      <c r="A119" s="200" t="s">
        <v>178</v>
      </c>
      <c r="B119" s="128" t="s">
        <v>179</v>
      </c>
      <c r="C119" s="205"/>
      <c r="D119" s="205"/>
      <c r="E119" s="205"/>
      <c r="F119" s="205"/>
      <c r="G119" s="205"/>
      <c r="H119" s="205"/>
      <c r="I119" s="205"/>
      <c r="J119" s="206"/>
      <c r="K119" s="203"/>
      <c r="L119" s="204"/>
      <c r="M119" s="173"/>
    </row>
    <row r="120" spans="1:16" s="66" customFormat="1" outlineLevel="1" x14ac:dyDescent="0.3">
      <c r="A120" s="200" t="s">
        <v>180</v>
      </c>
      <c r="B120" s="128" t="s">
        <v>181</v>
      </c>
      <c r="C120" s="175"/>
      <c r="D120" s="175"/>
      <c r="E120" s="175"/>
      <c r="F120" s="175"/>
      <c r="G120" s="175"/>
      <c r="H120" s="175"/>
      <c r="I120" s="175"/>
      <c r="J120" s="176"/>
      <c r="K120" s="203"/>
      <c r="L120" s="173" t="s">
        <v>182</v>
      </c>
      <c r="M120" s="173"/>
    </row>
    <row r="121" spans="1:16" s="8" customFormat="1" ht="4.5" customHeight="1" outlineLevel="1" x14ac:dyDescent="0.3">
      <c r="B121" s="167"/>
      <c r="C121" s="168"/>
      <c r="D121" s="168"/>
      <c r="E121" s="168"/>
      <c r="F121" s="168"/>
      <c r="G121" s="168"/>
      <c r="H121" s="168"/>
      <c r="I121" s="168"/>
      <c r="J121" s="169"/>
      <c r="L121" s="170"/>
      <c r="M121" s="170"/>
    </row>
    <row r="122" spans="1:16" s="8" customFormat="1" ht="14.25" customHeight="1" outlineLevel="1" x14ac:dyDescent="0.3">
      <c r="A122" s="179" t="s">
        <v>183</v>
      </c>
      <c r="B122" s="180"/>
      <c r="C122" s="191">
        <f>C124</f>
        <v>0</v>
      </c>
      <c r="D122" s="191">
        <f t="shared" ref="D122:J122" si="31">D124</f>
        <v>0</v>
      </c>
      <c r="E122" s="191">
        <f t="shared" si="31"/>
        <v>0</v>
      </c>
      <c r="F122" s="191">
        <f t="shared" si="31"/>
        <v>0</v>
      </c>
      <c r="G122" s="191">
        <f t="shared" si="31"/>
        <v>0</v>
      </c>
      <c r="H122" s="191">
        <f t="shared" si="31"/>
        <v>0</v>
      </c>
      <c r="I122" s="191"/>
      <c r="J122" s="191">
        <f t="shared" si="31"/>
        <v>0</v>
      </c>
      <c r="K122" s="164" t="s">
        <v>184</v>
      </c>
      <c r="L122" s="182"/>
      <c r="M122" s="182"/>
      <c r="N122" s="166"/>
      <c r="O122" s="164"/>
      <c r="P122" s="164"/>
    </row>
    <row r="123" spans="1:16" s="8" customFormat="1" ht="4.5" customHeight="1" outlineLevel="1" x14ac:dyDescent="0.3">
      <c r="B123" s="167"/>
      <c r="C123" s="168"/>
      <c r="D123" s="168"/>
      <c r="E123" s="168"/>
      <c r="F123" s="168"/>
      <c r="G123" s="168"/>
      <c r="H123" s="168"/>
      <c r="I123" s="168"/>
      <c r="J123" s="169"/>
      <c r="L123" s="170"/>
      <c r="M123" s="170"/>
    </row>
    <row r="124" spans="1:16" outlineLevel="1" x14ac:dyDescent="0.3">
      <c r="A124" s="183" t="s">
        <v>185</v>
      </c>
      <c r="B124" s="186" t="s">
        <v>186</v>
      </c>
      <c r="C124" s="187">
        <f>IFERROR('Sources de financement'!E173,"N/A")</f>
        <v>0</v>
      </c>
      <c r="D124" s="187">
        <f>IFERROR('Sources de financement'!F173,"N/A")</f>
        <v>0</v>
      </c>
      <c r="E124" s="187">
        <f>IFERROR('Sources de financement'!G173,"N/A")</f>
        <v>0</v>
      </c>
      <c r="F124" s="187">
        <f>IFERROR('Sources de financement'!H173,"N/A")</f>
        <v>0</v>
      </c>
      <c r="G124" s="187">
        <f>IFERROR('Sources de financement'!I173,"N/A")</f>
        <v>0</v>
      </c>
      <c r="H124" s="187">
        <f>IFERROR('Sources de financement'!J173,"N/A")</f>
        <v>0</v>
      </c>
      <c r="I124" s="187"/>
      <c r="J124" s="188">
        <f>IFERROR('Sources de financement'!L173,"N/A")</f>
        <v>0</v>
      </c>
      <c r="K124" s="189" t="s">
        <v>187</v>
      </c>
      <c r="L124" s="204"/>
      <c r="M124" s="190"/>
    </row>
    <row r="125" spans="1:16" s="8" customFormat="1" ht="4.5" customHeight="1" outlineLevel="1" x14ac:dyDescent="0.3">
      <c r="B125" s="167"/>
      <c r="C125" s="168"/>
      <c r="D125" s="168"/>
      <c r="E125" s="168"/>
      <c r="F125" s="168"/>
      <c r="G125" s="168"/>
      <c r="H125" s="168"/>
      <c r="I125" s="168"/>
      <c r="J125" s="169"/>
      <c r="L125" s="170"/>
      <c r="M125" s="170"/>
    </row>
    <row r="126" spans="1:16" s="66" customFormat="1" outlineLevel="1" x14ac:dyDescent="0.3">
      <c r="A126" s="207" t="s">
        <v>188</v>
      </c>
      <c r="B126" s="208"/>
      <c r="C126" s="209"/>
      <c r="D126" s="209"/>
      <c r="E126" s="209"/>
      <c r="F126" s="209"/>
      <c r="G126" s="209"/>
      <c r="H126" s="209"/>
      <c r="I126" s="209"/>
      <c r="J126" s="210"/>
      <c r="K126" s="164" t="s">
        <v>189</v>
      </c>
      <c r="L126" s="211"/>
      <c r="M126" s="211"/>
      <c r="N126" s="209"/>
      <c r="O126" s="209"/>
      <c r="P126" s="209"/>
    </row>
    <row r="127" spans="1:16" s="66" customFormat="1" ht="13" outlineLevel="1" x14ac:dyDescent="0.3">
      <c r="A127" s="66" t="s">
        <v>190</v>
      </c>
      <c r="B127" s="128"/>
      <c r="C127" s="201"/>
      <c r="D127" s="201"/>
      <c r="E127" s="201"/>
      <c r="F127" s="201"/>
      <c r="G127" s="201"/>
      <c r="H127" s="201"/>
      <c r="I127" s="201"/>
      <c r="J127" s="202"/>
      <c r="L127" s="173"/>
      <c r="M127" s="173"/>
    </row>
    <row r="130" spans="1:1" x14ac:dyDescent="0.3">
      <c r="A130" s="9"/>
    </row>
    <row r="131" spans="1:1" x14ac:dyDescent="0.3">
      <c r="A131" s="9"/>
    </row>
    <row r="132" spans="1:1" x14ac:dyDescent="0.3">
      <c r="A132" s="9"/>
    </row>
    <row r="133" spans="1:1" x14ac:dyDescent="0.3">
      <c r="A133" s="9"/>
    </row>
    <row r="134" spans="1:1" x14ac:dyDescent="0.3">
      <c r="A134" s="9"/>
    </row>
  </sheetData>
  <mergeCells count="1">
    <mergeCell ref="A5:P5"/>
  </mergeCells>
  <hyperlinks>
    <hyperlink ref="M93" r:id="rId1" xr:uid="{00000000-0004-0000-0500-000000000000}"/>
    <hyperlink ref="M78" r:id="rId2" xr:uid="{00000000-0004-0000-0500-000001000000}"/>
  </hyperlinks>
  <pageMargins left="0.7" right="0.7" top="0.78740157499999996" bottom="0.78740157499999996" header="0.3" footer="0.3"/>
  <pageSetup paperSize="9" scale="27" orientation="landscape" r:id="rId3"/>
  <colBreaks count="1" manualBreakCount="1">
    <brk id="16" max="1048575" man="1"/>
  </colBreaks>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P62"/>
  <sheetViews>
    <sheetView topLeftCell="A3" zoomScale="85" zoomScaleNormal="85" zoomScaleSheetLayoutView="100" workbookViewId="0">
      <selection activeCell="G7" sqref="G7"/>
    </sheetView>
  </sheetViews>
  <sheetFormatPr baseColWidth="10" defaultColWidth="10.58203125" defaultRowHeight="15.5" x14ac:dyDescent="0.3"/>
  <cols>
    <col min="1" max="1" width="13.08203125" style="21" bestFit="1" customWidth="1"/>
    <col min="2" max="2" width="60.58203125" style="21" customWidth="1"/>
    <col min="3" max="3" width="13.58203125" style="21" customWidth="1"/>
    <col min="4" max="4" width="27.83203125" style="21" customWidth="1"/>
    <col min="5" max="5" width="15.83203125" style="21" customWidth="1"/>
    <col min="6" max="6" width="16.08203125" style="21" customWidth="1"/>
    <col min="7" max="7" width="29.5" style="21" customWidth="1"/>
    <col min="8" max="8" width="10.58203125" style="21"/>
    <col min="9" max="9" width="10.58203125" style="21" customWidth="1"/>
    <col min="10" max="10" width="17.83203125" style="21" customWidth="1"/>
    <col min="11" max="12" width="10.58203125" style="21"/>
    <col min="13" max="13" width="28.08203125" style="21" customWidth="1"/>
    <col min="14" max="16384" width="10.58203125" style="21"/>
  </cols>
  <sheetData>
    <row r="3" spans="1:16" s="19" customFormat="1" ht="17.5" customHeight="1" x14ac:dyDescent="0.3">
      <c r="B3" s="39"/>
      <c r="C3" s="674"/>
      <c r="D3" s="674"/>
      <c r="F3" s="20"/>
      <c r="G3" s="20"/>
      <c r="H3" s="674"/>
      <c r="J3" s="20"/>
      <c r="M3" s="675"/>
      <c r="N3" s="674"/>
      <c r="O3" s="674"/>
    </row>
    <row r="5" spans="1:16" ht="32.25" customHeight="1" x14ac:dyDescent="0.3">
      <c r="B5" s="679" t="s">
        <v>500</v>
      </c>
      <c r="F5" s="706"/>
      <c r="H5" s="24"/>
      <c r="J5" s="24"/>
      <c r="K5" s="24"/>
      <c r="L5" s="24"/>
    </row>
    <row r="6" spans="1:16" ht="77.5" x14ac:dyDescent="0.3">
      <c r="A6" s="694" t="s">
        <v>292</v>
      </c>
      <c r="B6" s="26" t="s">
        <v>194</v>
      </c>
      <c r="C6" s="678" t="s">
        <v>191</v>
      </c>
      <c r="D6" s="677" t="s">
        <v>192</v>
      </c>
      <c r="E6" s="678" t="s">
        <v>193</v>
      </c>
      <c r="F6" s="678" t="s">
        <v>195</v>
      </c>
      <c r="G6" s="23"/>
      <c r="J6" s="24"/>
      <c r="K6" s="24"/>
      <c r="L6" s="23"/>
    </row>
    <row r="7" spans="1:16" x14ac:dyDescent="0.3">
      <c r="A7" s="686">
        <v>0</v>
      </c>
      <c r="B7" s="689" t="s">
        <v>196</v>
      </c>
      <c r="C7" s="680"/>
      <c r="D7" s="680"/>
      <c r="E7" s="680"/>
      <c r="F7" s="680"/>
      <c r="G7" s="23"/>
      <c r="J7" s="24"/>
      <c r="K7" s="24"/>
      <c r="L7" s="23"/>
    </row>
    <row r="8" spans="1:16" s="19" customFormat="1" ht="27.65" customHeight="1" x14ac:dyDescent="0.3">
      <c r="A8" s="695">
        <v>1</v>
      </c>
      <c r="B8" s="690" t="s">
        <v>259</v>
      </c>
      <c r="C8" s="681">
        <v>0</v>
      </c>
      <c r="D8" s="682">
        <v>0</v>
      </c>
      <c r="E8" s="683" t="s">
        <v>197</v>
      </c>
      <c r="F8" s="681">
        <v>0.8</v>
      </c>
      <c r="G8" s="20"/>
      <c r="J8" s="674"/>
      <c r="K8" s="674"/>
      <c r="L8" s="674"/>
    </row>
    <row r="9" spans="1:16" s="19" customFormat="1" ht="25.5" customHeight="1" x14ac:dyDescent="0.3">
      <c r="A9" s="686">
        <v>2</v>
      </c>
      <c r="B9" s="691" t="s">
        <v>260</v>
      </c>
      <c r="C9" s="684">
        <v>0.2</v>
      </c>
      <c r="D9" s="685">
        <v>0</v>
      </c>
      <c r="E9" s="686" t="s">
        <v>198</v>
      </c>
      <c r="F9" s="687">
        <v>0.8</v>
      </c>
      <c r="G9" s="20"/>
      <c r="J9" s="675"/>
      <c r="K9" s="674"/>
      <c r="L9" s="674"/>
    </row>
    <row r="10" spans="1:16" s="19" customFormat="1" ht="35.25" customHeight="1" x14ac:dyDescent="0.3">
      <c r="A10" s="683">
        <v>3</v>
      </c>
      <c r="B10" s="691" t="s">
        <v>490</v>
      </c>
      <c r="C10" s="684">
        <v>0</v>
      </c>
      <c r="D10" s="685">
        <v>0.5</v>
      </c>
      <c r="E10" s="685">
        <f>0.1*1.5</f>
        <v>0.15000000000000002</v>
      </c>
      <c r="F10" s="681">
        <v>1</v>
      </c>
      <c r="G10" s="676"/>
      <c r="I10" s="675"/>
      <c r="J10" s="674"/>
      <c r="K10" s="674"/>
    </row>
    <row r="11" spans="1:16" s="19" customFormat="1" ht="35.25" customHeight="1" x14ac:dyDescent="0.3">
      <c r="A11" s="686">
        <v>4</v>
      </c>
      <c r="B11" s="691" t="s">
        <v>491</v>
      </c>
      <c r="C11" s="684">
        <v>0</v>
      </c>
      <c r="D11" s="685">
        <v>0.5</v>
      </c>
      <c r="E11" s="685">
        <f>0.1*1.5</f>
        <v>0.15000000000000002</v>
      </c>
      <c r="F11" s="687">
        <v>0.9</v>
      </c>
      <c r="G11" s="676"/>
      <c r="I11" s="675"/>
      <c r="J11" s="674"/>
      <c r="K11" s="674"/>
    </row>
    <row r="12" spans="1:16" s="19" customFormat="1" ht="35.25" customHeight="1" x14ac:dyDescent="0.3">
      <c r="A12" s="683">
        <v>5</v>
      </c>
      <c r="B12" s="691" t="s">
        <v>494</v>
      </c>
      <c r="C12" s="693">
        <v>0</v>
      </c>
      <c r="D12" s="693">
        <v>0.5</v>
      </c>
      <c r="E12" s="693">
        <f>0.23*1.5</f>
        <v>0.34500000000000003</v>
      </c>
      <c r="F12" s="707">
        <v>1</v>
      </c>
      <c r="G12" s="20"/>
      <c r="H12" s="676"/>
      <c r="J12" s="675"/>
      <c r="K12" s="674"/>
      <c r="L12" s="674"/>
    </row>
    <row r="13" spans="1:16" s="19" customFormat="1" ht="31.5" customHeight="1" x14ac:dyDescent="0.3">
      <c r="A13" s="686">
        <v>6</v>
      </c>
      <c r="B13" s="699" t="s">
        <v>495</v>
      </c>
      <c r="C13" s="693">
        <v>0</v>
      </c>
      <c r="D13" s="693">
        <v>0.5</v>
      </c>
      <c r="E13" s="693">
        <f>0.23*1.5</f>
        <v>0.34500000000000003</v>
      </c>
      <c r="F13" s="707">
        <v>0.9</v>
      </c>
      <c r="G13" s="20"/>
      <c r="J13" s="675"/>
      <c r="K13" s="674"/>
      <c r="L13" s="674"/>
    </row>
    <row r="14" spans="1:16" s="19" customFormat="1" ht="17.25" customHeight="1" x14ac:dyDescent="0.35">
      <c r="A14" s="683">
        <v>7</v>
      </c>
      <c r="B14" s="691" t="s">
        <v>496</v>
      </c>
      <c r="C14" s="688">
        <v>0</v>
      </c>
      <c r="D14" s="682">
        <v>0.5</v>
      </c>
      <c r="E14" s="682">
        <f>0.26*1.5</f>
        <v>0.39</v>
      </c>
      <c r="F14" s="707">
        <v>1</v>
      </c>
      <c r="G14" s="20"/>
      <c r="J14" s="675"/>
      <c r="K14" s="674"/>
      <c r="L14" s="674"/>
      <c r="N14" s="25">
        <v>80</v>
      </c>
      <c r="O14" s="21" t="s">
        <v>200</v>
      </c>
      <c r="P14" s="21" t="s">
        <v>201</v>
      </c>
    </row>
    <row r="15" spans="1:16" s="19" customFormat="1" ht="15.65" customHeight="1" x14ac:dyDescent="0.3">
      <c r="A15" s="686">
        <v>8</v>
      </c>
      <c r="B15" s="699" t="s">
        <v>497</v>
      </c>
      <c r="C15" s="688">
        <v>0</v>
      </c>
      <c r="D15" s="682">
        <v>0.5</v>
      </c>
      <c r="E15" s="682">
        <f>0.26*1.5</f>
        <v>0.39</v>
      </c>
      <c r="F15" s="681">
        <v>0.9</v>
      </c>
      <c r="G15" s="20"/>
      <c r="H15" s="676"/>
      <c r="J15" s="675"/>
      <c r="K15" s="674"/>
      <c r="L15" s="674"/>
      <c r="N15" s="21">
        <v>90</v>
      </c>
      <c r="O15" s="21" t="s">
        <v>202</v>
      </c>
      <c r="P15" s="21"/>
    </row>
    <row r="16" spans="1:16" s="19" customFormat="1" ht="15.65" customHeight="1" x14ac:dyDescent="0.3">
      <c r="A16" s="683">
        <v>9</v>
      </c>
      <c r="B16" s="692" t="s">
        <v>492</v>
      </c>
      <c r="C16" s="688">
        <v>0.5</v>
      </c>
      <c r="D16" s="682">
        <v>0</v>
      </c>
      <c r="E16" s="683" t="s">
        <v>199</v>
      </c>
      <c r="F16" s="681">
        <v>0.8</v>
      </c>
      <c r="G16" s="20"/>
      <c r="H16" s="676"/>
      <c r="J16" s="675"/>
      <c r="K16" s="674"/>
      <c r="L16" s="674"/>
      <c r="N16" s="21">
        <v>100</v>
      </c>
      <c r="O16" s="21" t="s">
        <v>204</v>
      </c>
      <c r="P16" s="21"/>
    </row>
    <row r="17" spans="1:8" s="19" customFormat="1" x14ac:dyDescent="0.3">
      <c r="A17" s="686">
        <v>10</v>
      </c>
      <c r="B17" s="700" t="s">
        <v>421</v>
      </c>
      <c r="C17" s="684">
        <v>0</v>
      </c>
      <c r="D17" s="685">
        <v>0.5</v>
      </c>
      <c r="E17" s="686" t="s">
        <v>263</v>
      </c>
      <c r="F17" s="687">
        <v>0.9</v>
      </c>
      <c r="G17" s="20"/>
      <c r="H17" s="676"/>
    </row>
    <row r="18" spans="1:8" s="19" customFormat="1" ht="29.5" x14ac:dyDescent="0.3">
      <c r="A18" s="683">
        <v>11</v>
      </c>
      <c r="B18" s="700" t="s">
        <v>493</v>
      </c>
      <c r="C18" s="688">
        <v>0</v>
      </c>
      <c r="D18" s="682">
        <v>0.5</v>
      </c>
      <c r="E18" s="683" t="s">
        <v>203</v>
      </c>
      <c r="F18" s="681">
        <v>1</v>
      </c>
      <c r="G18" s="20"/>
      <c r="H18" s="676"/>
    </row>
    <row r="19" spans="1:8" s="19" customFormat="1" ht="46.5" x14ac:dyDescent="0.3">
      <c r="A19" s="686">
        <v>12</v>
      </c>
      <c r="B19" s="700" t="s">
        <v>261</v>
      </c>
      <c r="C19" s="684">
        <v>0</v>
      </c>
      <c r="D19" s="685">
        <v>0.5</v>
      </c>
      <c r="E19" s="701" t="s">
        <v>264</v>
      </c>
      <c r="F19" s="687" t="s">
        <v>498</v>
      </c>
    </row>
    <row r="20" spans="1:8" ht="46.5" x14ac:dyDescent="0.3">
      <c r="A20" s="683">
        <v>13</v>
      </c>
      <c r="B20" s="700" t="s">
        <v>265</v>
      </c>
      <c r="C20" s="688">
        <v>0</v>
      </c>
      <c r="D20" s="682">
        <v>0.5</v>
      </c>
      <c r="E20" s="691" t="s">
        <v>263</v>
      </c>
      <c r="F20" s="681">
        <v>1</v>
      </c>
    </row>
    <row r="21" spans="1:8" ht="55.5" customHeight="1" x14ac:dyDescent="0.3"/>
    <row r="22" spans="1:8" ht="62" x14ac:dyDescent="0.3">
      <c r="B22" s="26" t="s">
        <v>205</v>
      </c>
      <c r="C22" s="26" t="s">
        <v>206</v>
      </c>
      <c r="F22" s="21" t="s">
        <v>427</v>
      </c>
    </row>
    <row r="23" spans="1:8" x14ac:dyDescent="0.3">
      <c r="B23" s="27" t="s">
        <v>305</v>
      </c>
      <c r="C23" s="26"/>
      <c r="F23" s="21" t="s">
        <v>423</v>
      </c>
    </row>
    <row r="24" spans="1:8" x14ac:dyDescent="0.3">
      <c r="B24" s="27" t="s">
        <v>207</v>
      </c>
      <c r="C24" s="28">
        <v>0.34</v>
      </c>
      <c r="F24" s="21" t="s">
        <v>424</v>
      </c>
    </row>
    <row r="25" spans="1:8" x14ac:dyDescent="0.3">
      <c r="B25" s="27" t="s">
        <v>208</v>
      </c>
      <c r="C25" s="28">
        <v>0.37</v>
      </c>
      <c r="F25" s="21" t="s">
        <v>425</v>
      </c>
    </row>
    <row r="26" spans="1:8" x14ac:dyDescent="0.3">
      <c r="B26" s="27" t="s">
        <v>422</v>
      </c>
      <c r="C26" s="28">
        <v>0.4</v>
      </c>
      <c r="F26" s="21" t="s">
        <v>426</v>
      </c>
    </row>
    <row r="28" spans="1:8" ht="62.5" thickBot="1" x14ac:dyDescent="0.35">
      <c r="B28" s="29" t="s">
        <v>209</v>
      </c>
      <c r="C28" s="29" t="s">
        <v>210</v>
      </c>
      <c r="D28" s="29" t="s">
        <v>211</v>
      </c>
      <c r="E28" s="29" t="s">
        <v>414</v>
      </c>
      <c r="F28" s="29" t="s">
        <v>212</v>
      </c>
      <c r="G28" s="21" t="s">
        <v>213</v>
      </c>
    </row>
    <row r="29" spans="1:8" ht="23.5" thickBot="1" x14ac:dyDescent="0.35">
      <c r="B29" s="395" t="s">
        <v>214</v>
      </c>
      <c r="C29" s="395" t="s">
        <v>215</v>
      </c>
      <c r="D29" s="395" t="s">
        <v>417</v>
      </c>
      <c r="E29" s="395" t="s">
        <v>415</v>
      </c>
      <c r="F29" s="396" t="s">
        <v>216</v>
      </c>
    </row>
    <row r="30" spans="1:8" ht="23.5" thickBot="1" x14ac:dyDescent="0.35">
      <c r="B30" s="395" t="s">
        <v>413</v>
      </c>
      <c r="C30" s="395" t="s">
        <v>411</v>
      </c>
      <c r="D30" s="395" t="s">
        <v>217</v>
      </c>
      <c r="E30" s="395" t="s">
        <v>416</v>
      </c>
      <c r="F30" s="397" t="s">
        <v>266</v>
      </c>
    </row>
    <row r="31" spans="1:8" x14ac:dyDescent="0.3">
      <c r="B31" s="395" t="s">
        <v>412</v>
      </c>
      <c r="C31" s="395" t="s">
        <v>218</v>
      </c>
      <c r="D31" s="395" t="s">
        <v>219</v>
      </c>
      <c r="E31" s="395" t="s">
        <v>220</v>
      </c>
      <c r="F31" s="395" t="s">
        <v>221</v>
      </c>
    </row>
    <row r="32" spans="1:8" x14ac:dyDescent="0.3">
      <c r="B32" s="395" t="s">
        <v>222</v>
      </c>
      <c r="C32" s="395" t="s">
        <v>223</v>
      </c>
      <c r="D32" s="395" t="s">
        <v>224</v>
      </c>
      <c r="E32" s="395" t="s">
        <v>225</v>
      </c>
      <c r="F32" s="398"/>
    </row>
    <row r="33" spans="2:14" x14ac:dyDescent="0.3">
      <c r="B33" s="395" t="s">
        <v>226</v>
      </c>
      <c r="C33" s="395" t="s">
        <v>227</v>
      </c>
      <c r="D33" s="398" t="s">
        <v>228</v>
      </c>
      <c r="E33" s="395" t="s">
        <v>229</v>
      </c>
      <c r="F33" s="395"/>
    </row>
    <row r="34" spans="2:14" x14ac:dyDescent="0.3">
      <c r="B34" s="395" t="s">
        <v>230</v>
      </c>
      <c r="C34" s="395" t="s">
        <v>231</v>
      </c>
      <c r="D34" s="398"/>
      <c r="E34" s="398" t="s">
        <v>232</v>
      </c>
      <c r="F34" s="395"/>
    </row>
    <row r="35" spans="2:14" x14ac:dyDescent="0.3">
      <c r="B35" s="398" t="s">
        <v>233</v>
      </c>
      <c r="C35" s="398" t="s">
        <v>234</v>
      </c>
      <c r="D35" s="395"/>
      <c r="E35" s="395"/>
      <c r="F35" s="395"/>
    </row>
    <row r="37" spans="2:14" x14ac:dyDescent="0.3">
      <c r="B37" s="26" t="s">
        <v>235</v>
      </c>
      <c r="D37" s="26" t="s">
        <v>236</v>
      </c>
    </row>
    <row r="38" spans="2:14" x14ac:dyDescent="0.3">
      <c r="B38" s="32" t="s">
        <v>237</v>
      </c>
      <c r="D38" s="32" t="s">
        <v>238</v>
      </c>
    </row>
    <row r="39" spans="2:14" x14ac:dyDescent="0.3">
      <c r="B39" s="32" t="s">
        <v>239</v>
      </c>
      <c r="D39" s="32" t="s">
        <v>240</v>
      </c>
    </row>
    <row r="40" spans="2:14" x14ac:dyDescent="0.3">
      <c r="B40" s="37" t="s">
        <v>241</v>
      </c>
      <c r="D40" s="37" t="s">
        <v>262</v>
      </c>
    </row>
    <row r="42" spans="2:14" x14ac:dyDescent="0.3">
      <c r="B42" s="26" t="s">
        <v>242</v>
      </c>
      <c r="D42" s="21" t="s">
        <v>243</v>
      </c>
      <c r="F42" s="221"/>
    </row>
    <row r="43" spans="2:14" x14ac:dyDescent="0.3">
      <c r="B43" s="32" t="s">
        <v>244</v>
      </c>
      <c r="D43" s="21" t="s">
        <v>245</v>
      </c>
    </row>
    <row r="44" spans="2:14" x14ac:dyDescent="0.3">
      <c r="B44" s="32" t="s">
        <v>246</v>
      </c>
      <c r="D44" s="21" t="s">
        <v>247</v>
      </c>
    </row>
    <row r="45" spans="2:14" x14ac:dyDescent="0.3">
      <c r="B45" s="37" t="s">
        <v>248</v>
      </c>
      <c r="D45" s="21" t="s">
        <v>249</v>
      </c>
    </row>
    <row r="47" spans="2:14" ht="20" x14ac:dyDescent="0.3">
      <c r="B47" s="24" t="s">
        <v>250</v>
      </c>
      <c r="D47" s="540" t="s">
        <v>429</v>
      </c>
      <c r="E47" s="541"/>
      <c r="F47" s="541"/>
      <c r="G47" s="541"/>
      <c r="H47" s="542"/>
      <c r="I47" s="541"/>
      <c r="J47" s="543" t="s">
        <v>430</v>
      </c>
      <c r="K47" s="541"/>
      <c r="L47" s="541"/>
      <c r="M47" s="541"/>
      <c r="N47" s="544"/>
    </row>
    <row r="48" spans="2:14" x14ac:dyDescent="0.3">
      <c r="B48" s="33" t="s">
        <v>251</v>
      </c>
      <c r="D48" s="545" t="s">
        <v>431</v>
      </c>
      <c r="G48" s="24" t="s">
        <v>432</v>
      </c>
      <c r="H48" s="546"/>
      <c r="I48" s="24"/>
      <c r="J48" s="547" t="s">
        <v>433</v>
      </c>
      <c r="K48" s="24"/>
      <c r="L48" s="24"/>
      <c r="M48" s="24" t="s">
        <v>432</v>
      </c>
      <c r="N48" s="22"/>
    </row>
    <row r="49" spans="2:14" x14ac:dyDescent="0.35">
      <c r="B49" s="34" t="s">
        <v>268</v>
      </c>
      <c r="D49" s="548"/>
      <c r="G49" s="24"/>
      <c r="H49" s="546"/>
      <c r="I49" s="24"/>
      <c r="J49" s="547"/>
      <c r="K49" s="24"/>
      <c r="L49" s="24"/>
      <c r="M49" s="24"/>
      <c r="N49" s="22"/>
    </row>
    <row r="50" spans="2:14" x14ac:dyDescent="0.35">
      <c r="B50" s="35" t="s">
        <v>272</v>
      </c>
      <c r="D50" s="548"/>
      <c r="G50" s="24"/>
      <c r="H50" s="546"/>
      <c r="I50" s="24"/>
      <c r="J50" s="547"/>
      <c r="K50" s="24"/>
      <c r="L50" s="24"/>
      <c r="M50" s="24"/>
      <c r="N50" s="22"/>
    </row>
    <row r="51" spans="2:14" ht="31" x14ac:dyDescent="0.35">
      <c r="B51" s="35" t="s">
        <v>271</v>
      </c>
      <c r="D51" s="431" t="s">
        <v>441</v>
      </c>
      <c r="E51" s="428" t="s">
        <v>443</v>
      </c>
      <c r="G51" s="431" t="s">
        <v>441</v>
      </c>
      <c r="H51" s="549" t="s">
        <v>443</v>
      </c>
      <c r="J51" s="428" t="s">
        <v>441</v>
      </c>
      <c r="K51" s="428" t="s">
        <v>443</v>
      </c>
      <c r="M51" s="428" t="s">
        <v>441</v>
      </c>
      <c r="N51" s="428" t="s">
        <v>443</v>
      </c>
    </row>
    <row r="52" spans="2:14" x14ac:dyDescent="0.35">
      <c r="B52" s="35" t="s">
        <v>267</v>
      </c>
      <c r="D52" s="431" t="s">
        <v>434</v>
      </c>
      <c r="E52" s="428" t="s">
        <v>315</v>
      </c>
      <c r="G52" s="431" t="s">
        <v>434</v>
      </c>
      <c r="H52" s="549" t="s">
        <v>315</v>
      </c>
      <c r="J52" s="428" t="str">
        <f>IF('Compte de résultats'!M10&gt;0,"Prix de vente"&amp;" "&amp;'Compte de résultats'!A10,"")</f>
        <v/>
      </c>
      <c r="K52" s="428" t="str">
        <f>IF('Compte de résultats'!M10&gt;0,"CHF/unité","")</f>
        <v/>
      </c>
      <c r="M52" s="428" t="str">
        <f>IF('Compte de résultats'!M10&gt;0,"Prix de vente"&amp;" "&amp;'Compte de résultats'!A10,"")</f>
        <v/>
      </c>
      <c r="N52" s="428" t="str">
        <f>IF('Compte de résultats'!M10&gt;0,"CHF/unité","")</f>
        <v/>
      </c>
    </row>
    <row r="53" spans="2:14" x14ac:dyDescent="0.35">
      <c r="B53" s="35" t="s">
        <v>252</v>
      </c>
      <c r="D53" s="428" t="s">
        <v>442</v>
      </c>
      <c r="E53" s="428" t="s">
        <v>462</v>
      </c>
      <c r="G53" s="428" t="s">
        <v>442</v>
      </c>
      <c r="H53" s="428" t="s">
        <v>462</v>
      </c>
      <c r="J53" s="428" t="str">
        <f>IF('Compte de résultats'!O10&gt;0,"Quantité"&amp;" "&amp;'Compte de résultats'!A10,"")</f>
        <v/>
      </c>
      <c r="K53" s="428" t="str">
        <f>IF('Compte de résultats'!O10&gt;0,"à définir","")</f>
        <v/>
      </c>
      <c r="M53" s="428" t="str">
        <f>IF('Compte de résultats'!O10&gt;0,"Quantité"&amp;" "&amp;'Compte de résultats'!A10,"")</f>
        <v/>
      </c>
      <c r="N53" s="428" t="str">
        <f>IF('Compte de résultats'!O10&gt;0,"à définir","")</f>
        <v/>
      </c>
    </row>
    <row r="54" spans="2:14" ht="15.75" customHeight="1" x14ac:dyDescent="0.35">
      <c r="B54" s="35" t="s">
        <v>253</v>
      </c>
      <c r="D54" s="428" t="str">
        <f>IF('Compte de résultats'!M10&gt;0,"Prix de vente"&amp;" "&amp;'Compte de résultats'!A10,"")</f>
        <v/>
      </c>
      <c r="E54" s="428" t="str">
        <f>IF('Compte de résultats'!M10&gt;0,"CHF/unité","")</f>
        <v/>
      </c>
      <c r="F54" s="550"/>
      <c r="G54" s="428" t="str">
        <f>IF('Compte de résultats'!M10&gt;0,"Prix de vente"&amp;" "&amp;'Compte de résultats'!A10,"")</f>
        <v/>
      </c>
      <c r="H54" s="428" t="str">
        <f>IF('Compte de résultats'!M10&gt;0,"CHF/unité","")</f>
        <v/>
      </c>
      <c r="I54" s="550"/>
      <c r="J54" s="428" t="str">
        <f>IF('Compte de résultats'!M11&gt;0,"Prix de vente"&amp;" "&amp;'Compte de résultats'!A11,"")</f>
        <v/>
      </c>
      <c r="K54" s="428" t="str">
        <f>IF('Compte de résultats'!M11&gt;0,"CHF/unité","")</f>
        <v/>
      </c>
      <c r="L54" s="550"/>
      <c r="M54" s="428" t="str">
        <f>IF('Compte de résultats'!M20&gt;0,"Prix de matière première"&amp;" "&amp;'Compte de résultats'!A20,"")</f>
        <v/>
      </c>
      <c r="N54" s="428" t="str">
        <f>IF('Compte de résultats'!M20&gt;0,"CHF/unité","")</f>
        <v/>
      </c>
    </row>
    <row r="55" spans="2:14" ht="31.5" customHeight="1" x14ac:dyDescent="0.3">
      <c r="D55" s="428" t="str">
        <f>IF('Compte de résultats'!O10&gt;0,"Quantité"&amp;" "&amp;'Compte de résultats'!A10,"")</f>
        <v/>
      </c>
      <c r="E55" s="428" t="str">
        <f>IF('Compte de résultats'!O10&gt;0,"à définir","")</f>
        <v/>
      </c>
      <c r="G55" s="428" t="str">
        <f>IF('Compte de résultats'!O10&gt;0,"Quantité"&amp;" "&amp;'Compte de résultats'!A10,"")</f>
        <v/>
      </c>
      <c r="H55" s="428" t="str">
        <f>IF('Compte de résultats'!O10&gt;0,"à définir","")</f>
        <v/>
      </c>
      <c r="J55" s="428" t="str">
        <f>IF('Compte de résultats'!O11&gt;0,"Quantité"&amp;" "&amp;'Compte de résultats'!A11,"")</f>
        <v/>
      </c>
      <c r="K55" s="428" t="str">
        <f>IF('Compte de résultats'!O11&gt;0,"à définir","")</f>
        <v/>
      </c>
      <c r="M55" s="428" t="str">
        <f>IF('Compte de résultats'!M11&gt;0,"Prix de vente"&amp;" "&amp;'Compte de résultats'!A11,"")</f>
        <v/>
      </c>
      <c r="N55" s="428" t="str">
        <f>IF('Compte de résultats'!M11&gt;0,"CHF/unité","")</f>
        <v/>
      </c>
    </row>
    <row r="56" spans="2:14" x14ac:dyDescent="0.3">
      <c r="B56" s="29" t="s">
        <v>254</v>
      </c>
      <c r="D56" s="428" t="str">
        <f>IF('Compte de résultats'!M11&gt;0,"Prix de vente"&amp;" "&amp;'Compte de résultats'!A11,"")</f>
        <v/>
      </c>
      <c r="E56" s="428" t="str">
        <f>IF('Compte de résultats'!M11&gt;0,"CHF/unité","")</f>
        <v/>
      </c>
      <c r="G56" s="428" t="str">
        <f>IF('Compte de résultats'!M20&gt;0,"Prix de matière première"&amp;" "&amp;'Compte de résultats'!A20,"")</f>
        <v/>
      </c>
      <c r="H56" s="428" t="str">
        <f>IF('Compte de résultats'!M20&gt;0,"CHF/unité","")</f>
        <v/>
      </c>
      <c r="I56" s="21" t="s">
        <v>435</v>
      </c>
      <c r="J56" s="428" t="str">
        <f>IF('Compte de résultats'!M12&gt;0,"Prix de vente"&amp;" "&amp;'Compte de résultats'!A12,"")</f>
        <v/>
      </c>
      <c r="K56" s="428" t="str">
        <f>IF('Compte de résultats'!M12&gt;0,"CHF/unité","")</f>
        <v/>
      </c>
      <c r="M56" s="428" t="str">
        <f>IF('Compte de résultats'!O11&gt;0,"Quantité"&amp;" "&amp;'Compte de résultats'!A11,"")</f>
        <v/>
      </c>
      <c r="N56" s="428" t="str">
        <f>IF('Compte de résultats'!O11&gt;0,"à définir","")</f>
        <v/>
      </c>
    </row>
    <row r="57" spans="2:14" x14ac:dyDescent="0.3">
      <c r="B57" s="36" t="s">
        <v>255</v>
      </c>
      <c r="D57" s="428" t="str">
        <f>IF('Compte de résultats'!O11&gt;0,"Quantité"&amp;" "&amp;'Compte de résultats'!A11,"")</f>
        <v/>
      </c>
      <c r="E57" s="428" t="str">
        <f>IF('Compte de résultats'!O11&gt;0,"à définir","")</f>
        <v/>
      </c>
      <c r="G57" s="428" t="str">
        <f>IF('Compte de résultats'!M11&gt;0,"Prix de vente"&amp;" "&amp;'Compte de résultats'!A11,"")</f>
        <v/>
      </c>
      <c r="H57" s="428" t="str">
        <f>IF('Compte de résultats'!M11&gt;0,"CHF/unité","")</f>
        <v/>
      </c>
      <c r="I57" s="21" t="s">
        <v>435</v>
      </c>
      <c r="J57" s="428" t="str">
        <f>IF('Compte de résultats'!O12&gt;0,"Quantité"&amp;" "&amp;'Compte de résultats'!A12,"")</f>
        <v/>
      </c>
      <c r="K57" s="428" t="str">
        <f>IF('Compte de résultats'!O12&gt;0,"à définir","")</f>
        <v/>
      </c>
      <c r="M57" s="428" t="str">
        <f>IF('Compte de résultats'!M21&gt;0,"Prix de matière première"&amp;" "&amp;'Compte de résultats'!A21,"")</f>
        <v/>
      </c>
      <c r="N57" s="428" t="str">
        <f>IF('Compte de résultats'!M21&gt;0,"CHF/unité","")</f>
        <v/>
      </c>
    </row>
    <row r="58" spans="2:14" x14ac:dyDescent="0.3">
      <c r="B58" s="30" t="s">
        <v>256</v>
      </c>
      <c r="D58" s="428" t="str">
        <f>IF('Compte de résultats'!M12&gt;0,"Prix de vente"&amp;" "&amp;'Compte de résultats'!A12,"")</f>
        <v/>
      </c>
      <c r="E58" s="428" t="str">
        <f>IF('Compte de résultats'!M12&gt;0,"CHF/unité","")</f>
        <v/>
      </c>
      <c r="G58" s="428" t="str">
        <f>IF('Compte de résultats'!O11&gt;0,"Quantité"&amp;" "&amp;'Compte de résultats'!A11,"")</f>
        <v/>
      </c>
      <c r="H58" s="428" t="str">
        <f>IF('Compte de résultats'!O11&gt;0,"à définir","")</f>
        <v/>
      </c>
      <c r="M58" s="428" t="str">
        <f>IF('Compte de résultats'!M12&gt;0,"Prix de vente"&amp;" "&amp;'Compte de résultats'!A12,"")</f>
        <v/>
      </c>
      <c r="N58" s="428" t="str">
        <f>IF('Compte de résultats'!M12&gt;0,"CHF/unité","")</f>
        <v/>
      </c>
    </row>
    <row r="59" spans="2:14" x14ac:dyDescent="0.3">
      <c r="B59" s="31" t="s">
        <v>257</v>
      </c>
      <c r="D59" s="428" t="str">
        <f>IF('Compte de résultats'!O12&gt;0,"Quantité"&amp;" "&amp;'Compte de résultats'!A12,"")</f>
        <v/>
      </c>
      <c r="E59" s="428" t="str">
        <f>IF('Compte de résultats'!O12&gt;0,"à définir","")</f>
        <v/>
      </c>
      <c r="G59" s="428" t="str">
        <f>IF('Compte de résultats'!M21&gt;0,"Prix de matière première"&amp;" "&amp;'Compte de résultats'!A21,"")</f>
        <v/>
      </c>
      <c r="H59" s="428" t="str">
        <f>IF('Compte de résultats'!M21&gt;0,"CHF/unité","")</f>
        <v/>
      </c>
      <c r="M59" s="428" t="str">
        <f>IF('Compte de résultats'!O12&gt;0,"Quantité"&amp;" "&amp;'Compte de résultats'!A12,"")</f>
        <v/>
      </c>
      <c r="N59" s="428" t="str">
        <f>IF('Compte de résultats'!O12&gt;0,"à définir","")</f>
        <v/>
      </c>
    </row>
    <row r="60" spans="2:14" x14ac:dyDescent="0.3">
      <c r="B60" s="38" t="s">
        <v>258</v>
      </c>
      <c r="G60" s="428" t="str">
        <f>IF('Compte de résultats'!M12&gt;0,"Prix de vente"&amp;" "&amp;'Compte de résultats'!A12,"")</f>
        <v/>
      </c>
      <c r="H60" s="428" t="str">
        <f>IF('Compte de résultats'!M12&gt;0,"CHF/unité","")</f>
        <v/>
      </c>
      <c r="M60" s="428" t="str">
        <f>IF('Compte de résultats'!M22&gt;0,"Prix de matière première"&amp;" "&amp;'Compte de résultats'!A22,"")</f>
        <v/>
      </c>
      <c r="N60" s="428" t="str">
        <f>IF('Compte de résultats'!M22&gt;0,"CHF/unité","")</f>
        <v/>
      </c>
    </row>
    <row r="61" spans="2:14" x14ac:dyDescent="0.3">
      <c r="G61" s="428" t="str">
        <f>IF('Compte de résultats'!O12&gt;0,"Quantité"&amp;" "&amp;'Compte de résultats'!A12,"")</f>
        <v/>
      </c>
      <c r="H61" s="428" t="str">
        <f>IF('Compte de résultats'!O12&gt;0,"à définir","")</f>
        <v/>
      </c>
    </row>
    <row r="62" spans="2:14" x14ac:dyDescent="0.3">
      <c r="G62" s="428" t="str">
        <f>IF('Compte de résultats'!M22&gt;0,"Prix de matière première"&amp;" "&amp;'Compte de résultats'!A22,"")</f>
        <v/>
      </c>
      <c r="H62" s="428" t="str">
        <f>IF('Compte de résultats'!L22&gt;0,"CHF/unité","")</f>
        <v/>
      </c>
    </row>
  </sheetData>
  <pageMargins left="0.7" right="0.7" top="0.78740157499999996" bottom="0.78740157499999996" header="0.3" footer="0.3"/>
  <pageSetup paperSize="9" scale="50" orientation="portrait" r:id="rId1"/>
  <colBreaks count="1" manualBreakCount="1">
    <brk id="9" max="57" man="1"/>
  </colBreaks>
  <legacyDrawing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Vue d'ensemble</vt:lpstr>
      <vt:lpstr>Compte de résultats</vt:lpstr>
      <vt:lpstr>Sources de financement</vt:lpstr>
      <vt:lpstr>Aperçu liquidités</vt:lpstr>
      <vt:lpstr>CME</vt:lpstr>
      <vt:lpstr>Exemples d'hypothèses</vt:lpstr>
      <vt:lpstr>Dropdown input</vt:lpstr>
      <vt:lpstr>'Vue d''ensemble'!_GoBack</vt:lpstr>
      <vt:lpstr>'Compte de résultats'!Druckbereich</vt:lpstr>
      <vt:lpstr>'Dropdown input'!Druckbereich</vt:lpstr>
      <vt:lpstr>'Exemples d''hypothèses'!Druckbereich</vt:lpstr>
      <vt:lpstr>'Sources de financement'!Druckbereich</vt:lpstr>
      <vt:lpstr>'Vue d''ensemble'!Druckbereich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Beerli Anna BLW</dc:creator>
  <cp:lastModifiedBy>Smola Sten BLW</cp:lastModifiedBy>
  <cp:lastPrinted>2021-01-13T13:06:37Z</cp:lastPrinted>
  <dcterms:created xsi:type="dcterms:W3CDTF">2020-03-06T14:56:44Z</dcterms:created>
  <dcterms:modified xsi:type="dcterms:W3CDTF">2024-11-13T11:22:18Z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2024-11-12T08:43:59Z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7a5c9856-7954-4513-a570-2c8a57e4dbb3</vt:lpwstr>
  </property>
  <property fmtid="{D5CDD505-2E9C-101B-9397-08002B2CF9AE}" pid="8" name="MSIP_Label_aa112399-b73b-40c1-8af2-919b124b9d91_ContentBits">
    <vt:lpwstr>0</vt:lpwstr>
  </property>
</Properties>
</file>