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U80836697\AppData\Local\rubicon\Acta Nova Client\Data\591067958\"/>
    </mc:Choice>
  </mc:AlternateContent>
  <bookViews>
    <workbookView xWindow="-120" yWindow="-120" windowWidth="29040" windowHeight="15840" tabRatio="817"/>
  </bookViews>
  <sheets>
    <sheet name="Informazioni importanti" sheetId="55" r:id="rId1"/>
    <sheet name="USM" sheetId="16" r:id="rId2"/>
    <sheet name="20 aiuto iniziale" sheetId="13" r:id="rId3"/>
    <sheet name="30 abitazione" sheetId="12" r:id="rId4"/>
    <sheet name="32+33 suini e poll." sheetId="10" r:id="rId5"/>
    <sheet name="41 UBGFG" sheetId="49" r:id="rId6"/>
    <sheet name="div. CI" sheetId="50" r:id="rId7"/>
    <sheet name="div. CI &amp; Contributo" sheetId="51" r:id="rId8"/>
    <sheet name="47 edifici alpestre" sheetId="52" r:id="rId9"/>
    <sheet name="73 Obiet. ecol." sheetId="54" r:id="rId10"/>
    <sheet name="+alt+ 73 ÖkoZiele (ohne Zuschl)" sheetId="43" state="hidden" r:id="rId11"/>
  </sheets>
  <definedNames>
    <definedName name="AAA">#REF!</definedName>
    <definedName name="AccessDatabase" hidden="1">"P:\Daten rio\_Pendent\Formulare AP2011\AP2011 40 Gemeinschaftliche Massnahmen V1.0.mdb"</definedName>
    <definedName name="AP2011_40_Gemeinschaftliche_Massnahmen_V1_0_40_Meldeblatt_IK_Liste" localSheetId="9">#REF!</definedName>
    <definedName name="AP2011_40_Gemeinschaftliche_Massnahmen_V1_0_40_Meldeblatt_IK_Liste" localSheetId="0">#REF!</definedName>
    <definedName name="AP2011_40_Gemeinschaftliche_Massnahmen_V1_0_40_Meldeblatt_IK_Liste">#REF!</definedName>
    <definedName name="_xlnm.Print_Area" localSheetId="10">'+alt+ 73 ÖkoZiele (ohne Zuschl)'!$A$1:$H$64</definedName>
    <definedName name="_xlnm.Print_Area" localSheetId="2">'20 aiuto iniziale'!$A$1:$H$51</definedName>
    <definedName name="_xlnm.Print_Area" localSheetId="3">'30 abitazione'!$A$1:$F$28</definedName>
    <definedName name="_xlnm.Print_Area" localSheetId="4">'32+33 suini e poll.'!$A$1:$H$27</definedName>
    <definedName name="_xlnm.Print_Area" localSheetId="5">'41 UBGFG'!$A$1:$H$35</definedName>
    <definedName name="_xlnm.Print_Area" localSheetId="8">'47 edifici alpestre'!$A$1:$I$44</definedName>
    <definedName name="_xlnm.Print_Area" localSheetId="9">'73 Obiet. ecol.'!$A$1:$K$51</definedName>
    <definedName name="_xlnm.Print_Area" localSheetId="6">'div. CI'!$A$1:$F$45</definedName>
    <definedName name="_xlnm.Print_Area" localSheetId="7">'div. CI &amp; Contributo'!$A$1:$G$41</definedName>
    <definedName name="_xlnm.Print_Area" localSheetId="1">USM!$A$1:$E$57</definedName>
    <definedName name="Z_DF1916F3_5A65_402D_BE4C_0D137DE653D6_.wvu.Cols" localSheetId="10" hidden="1">'+alt+ 73 ÖkoZiele (ohne Zuschl)'!$I:$K</definedName>
    <definedName name="Z_DF1916F3_5A65_402D_BE4C_0D137DE653D6_.wvu.Cols" localSheetId="2" hidden="1">'20 aiuto iniziale'!$J:$M</definedName>
    <definedName name="Z_DF1916F3_5A65_402D_BE4C_0D137DE653D6_.wvu.Cols" localSheetId="3" hidden="1">'30 abitazione'!$G:$H</definedName>
    <definedName name="Z_DF1916F3_5A65_402D_BE4C_0D137DE653D6_.wvu.Cols" localSheetId="4" hidden="1">'32+33 suini e poll.'!$J:$M</definedName>
    <definedName name="Z_DF1916F3_5A65_402D_BE4C_0D137DE653D6_.wvu.Cols" localSheetId="5" hidden="1">'41 UBGFG'!$L:$L</definedName>
    <definedName name="Z_DF1916F3_5A65_402D_BE4C_0D137DE653D6_.wvu.Cols" localSheetId="9" hidden="1">'73 Obiet. ecol.'!$O:$X</definedName>
    <definedName name="Z_DF1916F3_5A65_402D_BE4C_0D137DE653D6_.wvu.PrintArea" localSheetId="10" hidden="1">'+alt+ 73 ÖkoZiele (ohne Zuschl)'!$A$1:$F$59</definedName>
    <definedName name="Z_DF1916F3_5A65_402D_BE4C_0D137DE653D6_.wvu.PrintArea" localSheetId="2" hidden="1">'20 aiuto iniziale'!$A$1:$H$51</definedName>
    <definedName name="Z_DF1916F3_5A65_402D_BE4C_0D137DE653D6_.wvu.PrintArea" localSheetId="3" hidden="1">'30 abitazione'!$A$1:$F$28</definedName>
    <definedName name="Z_DF1916F3_5A65_402D_BE4C_0D137DE653D6_.wvu.PrintArea" localSheetId="4" hidden="1">'32+33 suini e poll.'!$A$1:$H$27</definedName>
    <definedName name="Z_DF1916F3_5A65_402D_BE4C_0D137DE653D6_.wvu.PrintArea" localSheetId="5" hidden="1">'41 UBGFG'!$A$1:$H$36</definedName>
    <definedName name="Z_DF1916F3_5A65_402D_BE4C_0D137DE653D6_.wvu.PrintArea" localSheetId="9" hidden="1">'73 Obiet. ecol.'!$A$1:$H$54</definedName>
    <definedName name="Z_DF1916F3_5A65_402D_BE4C_0D137DE653D6_.wvu.PrintArea" localSheetId="1" hidden="1">USM!$A$1:$E$8</definedName>
    <definedName name="Z_DF1916F3_5A65_402D_BE4C_0D137DE653D6_.wvu.Rows" localSheetId="10" hidden="1">'+alt+ 73 ÖkoZiele (ohne Zuschl)'!$63:$73</definedName>
    <definedName name="Z_DF1916F3_5A65_402D_BE4C_0D137DE653D6_.wvu.Rows" localSheetId="2" hidden="1">'20 aiuto iniziale'!#REF!</definedName>
    <definedName name="Z_DF1916F3_5A65_402D_BE4C_0D137DE653D6_.wvu.Rows" localSheetId="3" hidden="1">'30 abitazione'!$31:$36</definedName>
    <definedName name="Z_DF1916F3_5A65_402D_BE4C_0D137DE653D6_.wvu.Rows" localSheetId="4" hidden="1">'32+33 suini e poll.'!$33:$33</definedName>
    <definedName name="Z_DF1916F3_5A65_402D_BE4C_0D137DE653D6_.wvu.Rows" localSheetId="9" hidden="1">'73 Obiet. ecol.'!$67:$77</definedName>
  </definedNames>
  <calcPr calcId="162913" iterate="1"/>
  <customWorkbookViews>
    <customWorkbookView name="Wilhelm Riedo - Persönliche Ansicht" guid="{DF1916F3-5A65-402D-BE4C-0D137DE653D6}" mergeInterval="0" personalView="1" maximized="1" xWindow="1" yWindow="1" windowWidth="1280" windowHeight="735" tabRatio="950" activeSheetId="3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54" l="1"/>
  <c r="G23" i="54" l="1"/>
  <c r="G25" i="54" l="1"/>
  <c r="G18" i="54"/>
  <c r="G17" i="54"/>
  <c r="G16" i="54"/>
  <c r="G15" i="54"/>
  <c r="G14" i="54"/>
  <c r="G13" i="54"/>
  <c r="L11" i="54" l="1"/>
  <c r="A15" i="50" l="1"/>
  <c r="B29" i="50"/>
  <c r="D21" i="54"/>
  <c r="O29" i="54"/>
  <c r="D29" i="50"/>
  <c r="A29" i="50"/>
  <c r="A25" i="51"/>
  <c r="I25" i="51"/>
  <c r="P11" i="50"/>
  <c r="I11" i="50"/>
  <c r="P12" i="50"/>
  <c r="P14" i="50" l="1"/>
  <c r="Q2" i="49"/>
  <c r="P2" i="49"/>
  <c r="O2" i="49"/>
  <c r="N2" i="49"/>
  <c r="M2" i="49"/>
  <c r="A8" i="52" l="1"/>
  <c r="D7" i="49" l="1"/>
  <c r="A9" i="52"/>
  <c r="A9" i="51"/>
  <c r="A9" i="50"/>
  <c r="A44" i="13" l="1"/>
  <c r="A43"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12" i="13"/>
  <c r="A35" i="13"/>
  <c r="A42" i="13"/>
  <c r="A41" i="13"/>
  <c r="A40" i="13"/>
  <c r="A39" i="13"/>
  <c r="A38" i="13"/>
  <c r="A37" i="13"/>
  <c r="A36" i="13"/>
  <c r="A34" i="13"/>
  <c r="A33" i="13"/>
  <c r="A32" i="13"/>
  <c r="A31" i="13"/>
  <c r="A30" i="13"/>
  <c r="A29" i="13"/>
  <c r="A28" i="13"/>
  <c r="A27" i="13"/>
  <c r="A26" i="13"/>
  <c r="A25" i="13"/>
  <c r="A24" i="13"/>
  <c r="A23" i="13"/>
  <c r="A22" i="13"/>
  <c r="A21" i="13"/>
  <c r="A20" i="13"/>
  <c r="A19" i="13"/>
  <c r="A18" i="13"/>
  <c r="A17" i="13"/>
  <c r="A16" i="13"/>
  <c r="A15" i="13"/>
  <c r="A14" i="13"/>
  <c r="A13" i="13"/>
  <c r="A12" i="13"/>
  <c r="A3" i="51" l="1"/>
  <c r="A3" i="50"/>
  <c r="A3" i="13"/>
  <c r="A5" i="51"/>
  <c r="A5" i="50"/>
  <c r="A5" i="13"/>
  <c r="A4" i="51"/>
  <c r="A4" i="50"/>
  <c r="A4" i="13"/>
  <c r="A6" i="50"/>
  <c r="A6" i="13"/>
  <c r="A6" i="51"/>
  <c r="N31" i="50" l="1"/>
  <c r="F8" i="51" l="1"/>
  <c r="C30" i="51" s="1"/>
  <c r="S26" i="51"/>
  <c r="A12" i="50"/>
  <c r="A13" i="50" l="1"/>
  <c r="A13" i="51"/>
  <c r="A12" i="51"/>
  <c r="B7" i="54"/>
  <c r="B8" i="50"/>
  <c r="B5" i="50"/>
  <c r="B6" i="50"/>
  <c r="B4" i="50"/>
  <c r="B8" i="51"/>
  <c r="B5" i="51"/>
  <c r="B6" i="51"/>
  <c r="B4" i="51"/>
  <c r="C5" i="52"/>
  <c r="C6" i="52"/>
  <c r="C4" i="52"/>
  <c r="B5" i="54"/>
  <c r="B6" i="54"/>
  <c r="B4" i="54"/>
  <c r="B3" i="54"/>
  <c r="C3" i="52"/>
  <c r="B3" i="51"/>
  <c r="B3" i="50"/>
  <c r="C7" i="13"/>
  <c r="C6" i="13"/>
  <c r="C5" i="13"/>
  <c r="C4" i="13"/>
  <c r="C3" i="13"/>
  <c r="B7" i="12"/>
  <c r="B6" i="12"/>
  <c r="B5" i="12"/>
  <c r="B4" i="12"/>
  <c r="B3" i="12"/>
  <c r="B3" i="10"/>
  <c r="B7" i="10"/>
  <c r="B6" i="10"/>
  <c r="B7" i="49"/>
  <c r="B6" i="49"/>
  <c r="B5" i="10"/>
  <c r="B5" i="49"/>
  <c r="B4" i="10"/>
  <c r="B4" i="49"/>
  <c r="B3" i="49"/>
  <c r="AA27" i="51" l="1"/>
  <c r="AB27" i="51" s="1"/>
  <c r="AA28" i="51"/>
  <c r="AB28" i="51" s="1"/>
  <c r="AA29" i="51"/>
  <c r="AB29" i="51" s="1"/>
  <c r="AA26" i="51"/>
  <c r="AB26" i="51" s="1"/>
  <c r="C29" i="51" l="1"/>
  <c r="D30" i="51" s="1"/>
  <c r="E12" i="49" l="1"/>
  <c r="F12" i="49" s="1"/>
  <c r="F20" i="49"/>
  <c r="S34" i="51"/>
  <c r="V35" i="51" s="1"/>
  <c r="Y35" i="51" l="1"/>
  <c r="T35" i="51"/>
  <c r="Z35" i="51"/>
  <c r="U35" i="51"/>
  <c r="X35" i="51"/>
  <c r="W35" i="51"/>
  <c r="S27" i="51"/>
  <c r="S28" i="51"/>
  <c r="S29" i="51"/>
  <c r="S35" i="51" l="1"/>
  <c r="N30" i="50"/>
  <c r="N32" i="50"/>
  <c r="N29" i="50"/>
  <c r="I29" i="51" l="1"/>
  <c r="D12" i="12" l="1"/>
  <c r="F12" i="12" s="1"/>
  <c r="D14" i="12"/>
  <c r="F14" i="12" s="1"/>
  <c r="D13" i="12"/>
  <c r="F13" i="12" s="1"/>
  <c r="P13" i="50"/>
  <c r="H45" i="13"/>
  <c r="I29" i="50"/>
  <c r="C11" i="50"/>
  <c r="I31" i="50"/>
  <c r="I32" i="50"/>
  <c r="I33" i="50"/>
  <c r="I30" i="50"/>
  <c r="C11" i="51"/>
  <c r="S16" i="49"/>
  <c r="S17" i="49" s="1"/>
  <c r="F15" i="12" l="1"/>
  <c r="F17" i="12" s="1"/>
  <c r="C26" i="51"/>
  <c r="I27" i="51"/>
  <c r="I28" i="51"/>
  <c r="I26" i="51"/>
  <c r="C28" i="51" l="1"/>
  <c r="E26" i="51"/>
  <c r="M11" i="54"/>
  <c r="K19" i="54"/>
  <c r="G26" i="51" l="1"/>
  <c r="G28" i="51" s="1"/>
  <c r="S29" i="54"/>
  <c r="S13" i="54"/>
  <c r="R29" i="54"/>
  <c r="Q29" i="54"/>
  <c r="P29" i="54"/>
  <c r="H25" i="54" l="1"/>
  <c r="K25" i="54" s="1"/>
  <c r="V13" i="54"/>
  <c r="R13" i="54"/>
  <c r="Q13" i="54"/>
  <c r="O13" i="54"/>
  <c r="F13" i="54" s="1"/>
  <c r="P13" i="54"/>
  <c r="H23" i="54" l="1"/>
  <c r="K23" i="54" s="1"/>
  <c r="F14" i="54"/>
  <c r="M14" i="54"/>
  <c r="L13" i="54"/>
  <c r="M17" i="54"/>
  <c r="M18" i="54"/>
  <c r="M15" i="54"/>
  <c r="L16" i="54"/>
  <c r="M13" i="54"/>
  <c r="M16" i="54"/>
  <c r="F15" i="54"/>
  <c r="I15" i="54"/>
  <c r="B15" i="54"/>
  <c r="B16" i="54"/>
  <c r="F16" i="54"/>
  <c r="I16" i="54"/>
  <c r="L18" i="54"/>
  <c r="L17" i="54"/>
  <c r="L15" i="54"/>
  <c r="I17" i="54"/>
  <c r="I18" i="54"/>
  <c r="F17" i="54"/>
  <c r="B17" i="54"/>
  <c r="F18" i="54"/>
  <c r="B18" i="54"/>
  <c r="K18" i="54" l="1"/>
  <c r="K17" i="54"/>
  <c r="H13" i="54"/>
  <c r="H16" i="54"/>
  <c r="K15" i="54"/>
  <c r="H18" i="54"/>
  <c r="H15" i="54"/>
  <c r="H17" i="54"/>
  <c r="K16" i="54"/>
  <c r="G21" i="52" l="1"/>
  <c r="E40" i="16" l="1"/>
  <c r="D30" i="50" l="1"/>
  <c r="F30" i="50" s="1"/>
  <c r="F31" i="50" l="1"/>
  <c r="T2" i="52"/>
  <c r="S2" i="52"/>
  <c r="R2" i="52"/>
  <c r="Q2" i="52"/>
  <c r="P2" i="52"/>
  <c r="O2" i="52"/>
  <c r="N2" i="52"/>
  <c r="H18" i="52"/>
  <c r="H17" i="52"/>
  <c r="H16" i="52"/>
  <c r="H15" i="52"/>
  <c r="H14" i="52"/>
  <c r="H13" i="52"/>
  <c r="H12" i="52"/>
  <c r="T5" i="52"/>
  <c r="S5" i="52"/>
  <c r="R5" i="52"/>
  <c r="Q5" i="52"/>
  <c r="P5" i="52"/>
  <c r="O5" i="52"/>
  <c r="N5" i="52"/>
  <c r="T3" i="52"/>
  <c r="F18" i="52" s="1"/>
  <c r="S3" i="52"/>
  <c r="F17" i="52" s="1"/>
  <c r="R3" i="52"/>
  <c r="F16" i="52" s="1"/>
  <c r="Q3" i="52"/>
  <c r="P3" i="52"/>
  <c r="O3" i="52"/>
  <c r="F13" i="52" s="1"/>
  <c r="N3" i="52"/>
  <c r="F12" i="52" s="1"/>
  <c r="G12" i="52" l="1"/>
  <c r="F14" i="52"/>
  <c r="F15" i="52"/>
  <c r="D20" i="49"/>
  <c r="E16" i="49"/>
  <c r="F16" i="49" s="1"/>
  <c r="E13" i="49"/>
  <c r="F13" i="49" s="1"/>
  <c r="G15" i="52" l="1"/>
  <c r="A3" i="52"/>
  <c r="A4" i="52"/>
  <c r="A5" i="52"/>
  <c r="A6" i="52"/>
  <c r="Q15" i="54" l="1"/>
  <c r="Q14" i="54"/>
  <c r="A7" i="54"/>
  <c r="A6" i="54"/>
  <c r="A5" i="54"/>
  <c r="A4" i="54"/>
  <c r="A3" i="54"/>
  <c r="H15" i="43"/>
  <c r="F15" i="43"/>
  <c r="K8" i="49"/>
  <c r="M8" i="49"/>
  <c r="P5" i="49"/>
  <c r="P4" i="49"/>
  <c r="O5" i="49"/>
  <c r="O4" i="49"/>
  <c r="N5" i="49"/>
  <c r="N4" i="49"/>
  <c r="P8" i="49"/>
  <c r="O8" i="49"/>
  <c r="N8" i="49"/>
  <c r="K5" i="49"/>
  <c r="K4" i="49"/>
  <c r="M5" i="49"/>
  <c r="M4" i="49"/>
  <c r="A8" i="12" l="1"/>
  <c r="I12" i="52" l="1"/>
  <c r="G13" i="52"/>
  <c r="I13" i="52"/>
  <c r="G14" i="52"/>
  <c r="I14" i="52"/>
  <c r="I15" i="52"/>
  <c r="G16" i="52"/>
  <c r="I16" i="52"/>
  <c r="G17" i="52"/>
  <c r="I17" i="52"/>
  <c r="G18" i="52"/>
  <c r="I18" i="52"/>
  <c r="G19" i="52" l="1"/>
  <c r="G23" i="52" s="1"/>
  <c r="I19" i="52"/>
  <c r="I23" i="52" s="1"/>
  <c r="J14" i="43"/>
  <c r="G24" i="52" l="1"/>
  <c r="G25" i="52" s="1"/>
  <c r="H21" i="52"/>
  <c r="A4" i="43"/>
  <c r="A5" i="43"/>
  <c r="A6" i="43"/>
  <c r="A7" i="43"/>
  <c r="A3" i="43"/>
  <c r="J16" i="43"/>
  <c r="F35" i="43" s="1"/>
  <c r="A8" i="10"/>
  <c r="A8" i="49"/>
  <c r="A4" i="10"/>
  <c r="A5" i="10"/>
  <c r="A6" i="10"/>
  <c r="A7" i="10"/>
  <c r="A3" i="10"/>
  <c r="A7" i="49"/>
  <c r="A6" i="49"/>
  <c r="A5" i="49"/>
  <c r="A4" i="49"/>
  <c r="A3" i="49"/>
  <c r="A4" i="12"/>
  <c r="A5" i="12"/>
  <c r="A6" i="12"/>
  <c r="A7" i="12"/>
  <c r="A3" i="12"/>
  <c r="L4" i="49"/>
  <c r="L5" i="49"/>
  <c r="L6" i="49"/>
  <c r="L7" i="49"/>
  <c r="L8" i="49"/>
  <c r="L3" i="49" l="1"/>
  <c r="S10" i="49" l="1"/>
  <c r="E15" i="49"/>
  <c r="F15" i="49" s="1"/>
  <c r="H16" i="49" l="1"/>
  <c r="H15" i="49"/>
  <c r="H14" i="49"/>
  <c r="H13" i="49"/>
  <c r="H12" i="49"/>
  <c r="H19" i="49" l="1"/>
  <c r="H24" i="49" s="1"/>
  <c r="F16" i="43" l="1"/>
  <c r="F14" i="43"/>
  <c r="H14" i="43"/>
  <c r="F31" i="43"/>
  <c r="H31" i="43" s="1"/>
  <c r="F30" i="43"/>
  <c r="H30" i="43" s="1"/>
  <c r="F27" i="43"/>
  <c r="H27" i="43" s="1"/>
  <c r="H25" i="43"/>
  <c r="F21" i="43"/>
  <c r="H21" i="43" s="1"/>
  <c r="F23" i="43"/>
  <c r="H23" i="43" s="1"/>
  <c r="H33" i="43" l="1"/>
  <c r="F33" i="43"/>
  <c r="M25" i="43" l="1"/>
  <c r="O28" i="43" s="1"/>
  <c r="M19" i="43"/>
  <c r="O22" i="43" s="1"/>
  <c r="M12" i="43"/>
  <c r="O16" i="43" s="1"/>
  <c r="M6" i="43"/>
  <c r="O9" i="43" s="1"/>
  <c r="O29" i="43" l="1"/>
  <c r="F36" i="43" s="1"/>
  <c r="G21" i="13" l="1"/>
  <c r="H21" i="13" s="1"/>
  <c r="E20" i="16"/>
  <c r="G34" i="13"/>
  <c r="H34" i="13" s="1"/>
  <c r="G35" i="13"/>
  <c r="G36" i="13"/>
  <c r="H36" i="13" s="1"/>
  <c r="G37" i="13"/>
  <c r="H37" i="13" s="1"/>
  <c r="G38" i="13"/>
  <c r="H38" i="13" s="1"/>
  <c r="G39" i="13"/>
  <c r="H39" i="13" s="1"/>
  <c r="G40" i="13"/>
  <c r="G41" i="13"/>
  <c r="H41" i="13" s="1"/>
  <c r="G42" i="13"/>
  <c r="G27" i="13"/>
  <c r="H27" i="13" s="1"/>
  <c r="G28" i="13"/>
  <c r="H28" i="13" s="1"/>
  <c r="G29" i="13"/>
  <c r="H29" i="13" s="1"/>
  <c r="G30" i="13"/>
  <c r="H30" i="13" s="1"/>
  <c r="G31" i="13"/>
  <c r="H31" i="13" s="1"/>
  <c r="G33" i="13"/>
  <c r="G26" i="13"/>
  <c r="G13" i="13"/>
  <c r="H13" i="13" s="1"/>
  <c r="G14" i="13"/>
  <c r="G15" i="13"/>
  <c r="H15" i="13" s="1"/>
  <c r="G16" i="13"/>
  <c r="G17" i="13"/>
  <c r="G18" i="13"/>
  <c r="G19" i="13"/>
  <c r="G20" i="13"/>
  <c r="H20" i="13" s="1"/>
  <c r="G22" i="13"/>
  <c r="G23" i="13"/>
  <c r="H23" i="13" s="1"/>
  <c r="G12" i="13"/>
  <c r="H14" i="13"/>
  <c r="H17" i="13"/>
  <c r="H33" i="13"/>
  <c r="H40" i="13"/>
  <c r="E39" i="16"/>
  <c r="E38" i="16"/>
  <c r="E37" i="16"/>
  <c r="E36" i="16"/>
  <c r="E35" i="16"/>
  <c r="E34" i="16"/>
  <c r="E33" i="16"/>
  <c r="E32" i="16"/>
  <c r="E30" i="16"/>
  <c r="E29" i="16"/>
  <c r="E28" i="16"/>
  <c r="E27" i="16"/>
  <c r="E26" i="16"/>
  <c r="E25" i="16"/>
  <c r="E22" i="16"/>
  <c r="E19" i="16"/>
  <c r="E18" i="16"/>
  <c r="E17" i="16"/>
  <c r="E16" i="16"/>
  <c r="E15" i="16"/>
  <c r="E14" i="16"/>
  <c r="E13" i="16"/>
  <c r="E12" i="16"/>
  <c r="E11" i="16"/>
  <c r="H11" i="10"/>
  <c r="H12" i="10"/>
  <c r="H13" i="10"/>
  <c r="H14" i="10"/>
  <c r="E21" i="16"/>
  <c r="H15" i="10" l="1"/>
  <c r="E23" i="16"/>
  <c r="E41" i="16" s="1"/>
  <c r="H35" i="13"/>
  <c r="H26" i="13"/>
  <c r="H18" i="13"/>
  <c r="H19" i="13"/>
  <c r="E33" i="43"/>
  <c r="H16" i="13"/>
  <c r="H12" i="13"/>
  <c r="H22" i="13" s="1"/>
  <c r="H24" i="13" l="1"/>
  <c r="H42" i="13" s="1"/>
  <c r="F39" i="43"/>
  <c r="H43" i="13" l="1"/>
  <c r="H44" i="13" s="1"/>
  <c r="H46" i="13" s="1"/>
  <c r="F40" i="43"/>
  <c r="F37" i="43" s="1"/>
  <c r="H37" i="43"/>
  <c r="E14" i="49"/>
  <c r="F14" i="49" l="1"/>
  <c r="F17" i="49" l="1"/>
  <c r="F18" i="49" s="1"/>
  <c r="F19" i="49" l="1"/>
  <c r="E19" i="49" s="1"/>
  <c r="G20" i="49"/>
  <c r="F22" i="49" l="1"/>
  <c r="F25" i="49" s="1"/>
  <c r="F26" i="49" s="1"/>
  <c r="F24" i="49" s="1"/>
  <c r="B14" i="54"/>
  <c r="I14" i="54"/>
  <c r="K14" i="54" s="1"/>
  <c r="B13" i="54"/>
  <c r="L14" i="54"/>
  <c r="H14" i="54" s="1"/>
  <c r="H28" i="54" s="1"/>
  <c r="H34" i="54" s="1"/>
  <c r="H35" i="54" s="1"/>
  <c r="I13" i="54"/>
  <c r="K13" i="54" s="1"/>
  <c r="K28" i="54" l="1"/>
  <c r="K32" i="54" s="1"/>
  <c r="H32" i="54"/>
</calcChain>
</file>

<file path=xl/comments1.xml><?xml version="1.0" encoding="utf-8"?>
<comments xmlns="http://schemas.openxmlformats.org/spreadsheetml/2006/main">
  <authors>
    <author>Michael Stäuble BLW</author>
  </authors>
  <commentList>
    <comment ref="F7" authorId="0" shapeId="0">
      <text>
        <r>
          <rPr>
            <sz val="9"/>
            <color indexed="81"/>
            <rFont val="Segoe UI"/>
            <family val="2"/>
          </rPr>
          <t>Selezionare qui la zona di contributo rilevante.</t>
        </r>
      </text>
    </comment>
  </commentList>
</comments>
</file>

<file path=xl/comments2.xml><?xml version="1.0" encoding="utf-8"?>
<comments xmlns="http://schemas.openxmlformats.org/spreadsheetml/2006/main">
  <authors>
    <author>Michael Stäuble BLW</author>
  </authors>
  <commentList>
    <comment ref="C8" authorId="0" shapeId="0">
      <text>
        <r>
          <rPr>
            <sz val="9"/>
            <color indexed="81"/>
            <rFont val="Segoe UI"/>
            <family val="2"/>
          </rPr>
          <t>Selezionare qui il tipo di aiuto finanziario</t>
        </r>
      </text>
    </comment>
  </commentList>
</comments>
</file>

<file path=xl/sharedStrings.xml><?xml version="1.0" encoding="utf-8"?>
<sst xmlns="http://schemas.openxmlformats.org/spreadsheetml/2006/main" count="537" uniqueCount="320">
  <si>
    <t>Bemerkungen</t>
  </si>
  <si>
    <t>Fr.</t>
  </si>
  <si>
    <t>ha</t>
  </si>
  <si>
    <t>GVE</t>
  </si>
  <si>
    <t>%</t>
  </si>
  <si>
    <t>Zone</t>
  </si>
  <si>
    <t>Einheit</t>
  </si>
  <si>
    <t>Anzahl</t>
  </si>
  <si>
    <t>Bundesbeitrag</t>
  </si>
  <si>
    <t>Beitrag</t>
  </si>
  <si>
    <t>Aufteilung Beitrag</t>
  </si>
  <si>
    <t>m3</t>
  </si>
  <si>
    <t>m2</t>
  </si>
  <si>
    <t>IK</t>
  </si>
  <si>
    <t>Freigrenze Vermögen</t>
  </si>
  <si>
    <t>Kosten der Massnahme</t>
  </si>
  <si>
    <t>Kantonsbeitrag</t>
  </si>
  <si>
    <t>Berechnung Vermögensabzug</t>
  </si>
  <si>
    <t>Massnahme</t>
  </si>
  <si>
    <t>Laufgänge mit Quergefälle und Harnsammelrinne</t>
  </si>
  <si>
    <t>Betrag/Einheit</t>
  </si>
  <si>
    <t>Erhöhte Fressstände</t>
  </si>
  <si>
    <t>Füll- und Waschplätze von Spritz- und Sprühgeräten</t>
  </si>
  <si>
    <t>maximal möglicher Beitrag pro Betrieb</t>
  </si>
  <si>
    <t>Rundung Vermögen</t>
  </si>
  <si>
    <t>IK / Einheit</t>
  </si>
  <si>
    <t>Weitere Massnahmen</t>
  </si>
  <si>
    <t>Güllenansäuerung zur Ammoniakreduktion</t>
  </si>
  <si>
    <t>Rückbau ungenutzter landw. Gebäude ausserhalb Bauzone</t>
  </si>
  <si>
    <t>Mehrkosten für besondere Anpassung landw. Gebäude und denkmalpflegerischen Anforderungen</t>
  </si>
  <si>
    <t>Beitragsberech-tigte Kosten</t>
  </si>
  <si>
    <t>Abzug wegen Vermögen (nur Anteil Bund)</t>
  </si>
  <si>
    <t>Abzüge / Zuschläge (Beitrag nur Anteil Bund)</t>
  </si>
  <si>
    <t>Total Investitionshilfen für ökologische Ziele</t>
  </si>
  <si>
    <t>Subtotal Investitionshilfen</t>
  </si>
  <si>
    <t>Bauten, Anlagen und Einrichtungen zur Produktion oder zur Speicherung nach-haltiger Energie zur Eigenversorgung</t>
  </si>
  <si>
    <t>Fall 1</t>
  </si>
  <si>
    <t>Tag</t>
  </si>
  <si>
    <t>Monat</t>
  </si>
  <si>
    <t>Jahr</t>
  </si>
  <si>
    <t>Datum der Schlusszahlung</t>
  </si>
  <si>
    <t>Alter heute</t>
  </si>
  <si>
    <t>Beitrag Bund</t>
  </si>
  <si>
    <t>Bestimmungsgemässe Nutzungsdauer</t>
  </si>
  <si>
    <t>Beitrag Bund p-r-t</t>
  </si>
  <si>
    <t>Fall 2</t>
  </si>
  <si>
    <t>Fall 3</t>
  </si>
  <si>
    <t>Fall 4</t>
  </si>
  <si>
    <t>Total Abzug pro-rata-temporis</t>
  </si>
  <si>
    <r>
      <t xml:space="preserve">Beitragssatz </t>
    </r>
    <r>
      <rPr>
        <sz val="9"/>
        <rFont val="Arial"/>
        <family val="2"/>
      </rPr>
      <t>max.50%</t>
    </r>
  </si>
  <si>
    <r>
      <t xml:space="preserve">Hilfsberechnung Beitrag pro-rata-temporis </t>
    </r>
    <r>
      <rPr>
        <b/>
        <u/>
        <sz val="10"/>
        <rFont val="Arial"/>
        <family val="2"/>
      </rPr>
      <t>Öko-Ziele</t>
    </r>
  </si>
  <si>
    <t>Vermögen</t>
  </si>
  <si>
    <t>Investitionshilfen: Ökologische Ziele</t>
  </si>
  <si>
    <r>
      <t xml:space="preserve">IK-Satz
</t>
    </r>
    <r>
      <rPr>
        <sz val="9"/>
        <rFont val="Arial"/>
        <family val="2"/>
      </rPr>
      <t>max.50%</t>
    </r>
  </si>
  <si>
    <t>Minderung der Ammoniakemissionen mit Pauschalansatz je GVE oder m2</t>
  </si>
  <si>
    <t>Abdeckung von bestehenden Güllengruben</t>
  </si>
  <si>
    <t>Abluftreinigungsanlagen zur Ammoniakreduktion</t>
  </si>
  <si>
    <t>0.600-0.999</t>
  </si>
  <si>
    <t>1.000-1.499</t>
  </si>
  <si>
    <t>0%</t>
  </si>
  <si>
    <t>Total
Kontrolle (i.O. = 100%)</t>
  </si>
  <si>
    <t>Calcolo delle unità standard di manodopera</t>
  </si>
  <si>
    <t>Unità</t>
  </si>
  <si>
    <t>Numero</t>
  </si>
  <si>
    <t>USM per unità</t>
  </si>
  <si>
    <t>USM</t>
  </si>
  <si>
    <t>UBG</t>
  </si>
  <si>
    <t>sì = 1</t>
  </si>
  <si>
    <t>pezzo</t>
  </si>
  <si>
    <t>CN</t>
  </si>
  <si>
    <t>Altri animali da reddito nell'azienda d'estivazione</t>
  </si>
  <si>
    <t>ara</t>
  </si>
  <si>
    <t>fr. prest. lorda</t>
  </si>
  <si>
    <t>Supplemento</t>
  </si>
  <si>
    <t>Dati</t>
  </si>
  <si>
    <t>Totale SAU ha</t>
  </si>
  <si>
    <t>Totale UBG</t>
  </si>
  <si>
    <t>UBG / ha SAU</t>
  </si>
  <si>
    <t>ha SAU / UBG</t>
  </si>
  <si>
    <t>USM / ha SAU</t>
  </si>
  <si>
    <t>ha SAU / USM</t>
  </si>
  <si>
    <t>USM / UBG</t>
  </si>
  <si>
    <t>UBG / USM</t>
  </si>
  <si>
    <t>Osservazioni</t>
  </si>
  <si>
    <t>Totale aiuto iniziale</t>
  </si>
  <si>
    <t>Credito di investimento: aiuto iniziale</t>
  </si>
  <si>
    <t>aiuto iniziale</t>
  </si>
  <si>
    <t>Zona</t>
  </si>
  <si>
    <t>Richiedente</t>
  </si>
  <si>
    <t>Comune politico</t>
  </si>
  <si>
    <t>N. Cantone</t>
  </si>
  <si>
    <t>N. CSF eMapis</t>
  </si>
  <si>
    <t>Elementi</t>
  </si>
  <si>
    <t>a 1. SAU senza colture speciali</t>
  </si>
  <si>
    <t>a 2. Colture speciali (senza a 3.)</t>
  </si>
  <si>
    <t>a 3. Vigneti in zone in forte pendenza e terrazzate, &gt;30% decl.</t>
  </si>
  <si>
    <t>b 1. Vacche, pecore e capre da latte</t>
  </si>
  <si>
    <t>b 2. Suini da ingrasso, rimonte &gt;25 kg</t>
  </si>
  <si>
    <t>b 3. Suini da allevamento</t>
  </si>
  <si>
    <t>b 4. Altri animali da reddito</t>
  </si>
  <si>
    <t>c 1. Zone declive con declività del 18–35 %</t>
  </si>
  <si>
    <t>c 2. Zone declive con declività superiore al 35 fino al 50 %</t>
  </si>
  <si>
    <t>c 3. Zone declive con declività superiore al 50 %</t>
  </si>
  <si>
    <t>c 4. Produzione vegetale (agricoltura biologica)</t>
  </si>
  <si>
    <t>c 5. Alberi da frutto ad alto fusto nei campi</t>
  </si>
  <si>
    <t>Totale intermedio 1</t>
  </si>
  <si>
    <t>A Supplementi per rami aziendali speciali</t>
  </si>
  <si>
    <t>Patate</t>
  </si>
  <si>
    <t>Bacche, piante medicinali e aromatiche</t>
  </si>
  <si>
    <t>Viticoltura con torchiatura in proprio</t>
  </si>
  <si>
    <t>Colture di alberi di Natale</t>
  </si>
  <si>
    <t>Serre con fondamenta fisse</t>
  </si>
  <si>
    <t>Tunnel o letti di forzatura</t>
  </si>
  <si>
    <t>B Altri coefficienti per rami aziendali speciali</t>
  </si>
  <si>
    <t>Bosco di proprietà dell'azienda</t>
  </si>
  <si>
    <t>Vacche da latte nell’azienda d’estivazione</t>
  </si>
  <si>
    <t>Produzione di funghi in tunnel o edifici</t>
  </si>
  <si>
    <t>Produzione di funghi prataioli in edifici</t>
  </si>
  <si>
    <t>Produzione di cicoria belga in edifici</t>
  </si>
  <si>
    <t>Produzione di germogli in edifici</t>
  </si>
  <si>
    <t>Ortoflorovivaismo esercitato a titolo professionale: serra con fondamenta fisse o tunnel per piante in recipiente (vaso)</t>
  </si>
  <si>
    <t>Lavorazione, stoccaggio e vendita di prodotti agricoli di produzione propria</t>
  </si>
  <si>
    <t>Attività affini all'agricoltura giusta l'art. 12b OTerm</t>
  </si>
  <si>
    <t>Totale intermedio 2</t>
  </si>
  <si>
    <t xml:space="preserve">Totale USM  </t>
  </si>
  <si>
    <t/>
  </si>
  <si>
    <t>Costi del provvedimento</t>
  </si>
  <si>
    <t>Sostanza</t>
  </si>
  <si>
    <t>Forma giuridica</t>
  </si>
  <si>
    <t>Tipo di aiuto finanziario</t>
  </si>
  <si>
    <t>Combinato</t>
  </si>
  <si>
    <t>Prestaz. cantonale %</t>
  </si>
  <si>
    <t>Abitazione del capoaz. con alloggio per anziani</t>
  </si>
  <si>
    <t>Abitazione del capoazienda</t>
  </si>
  <si>
    <t>Alloggio per anziani</t>
  </si>
  <si>
    <t>Totale intermedio</t>
  </si>
  <si>
    <t>Deduzione / supplementi</t>
  </si>
  <si>
    <t>Totale</t>
  </si>
  <si>
    <t>CI</t>
  </si>
  <si>
    <t>Costi computabili</t>
  </si>
  <si>
    <t>Costi residui</t>
  </si>
  <si>
    <r>
      <t xml:space="preserve">Aliquote CI
</t>
    </r>
    <r>
      <rPr>
        <sz val="8"/>
        <rFont val="Arial"/>
        <family val="2"/>
      </rPr>
      <t>max. 50%</t>
    </r>
  </si>
  <si>
    <t>CI per unità</t>
  </si>
  <si>
    <t>Suini riproduttori, incl. discendenti e verri SSRA</t>
  </si>
  <si>
    <t>Suini da ingrasso e suinetti svezzati SSRA</t>
  </si>
  <si>
    <t>Galline ovaiole SSRA</t>
  </si>
  <si>
    <t>Pollame da allevamento e da ingrasso, tacchini SSRA</t>
  </si>
  <si>
    <t>Costruzione di un nuovo edificio di economia rurale o trasformazione equivalente</t>
  </si>
  <si>
    <t>Deduzione in % del patrimonio edilizio esistente</t>
  </si>
  <si>
    <t>Costi di costruzione minimi</t>
  </si>
  <si>
    <t>Compilare il campo dei costi del provvedimento!</t>
  </si>
  <si>
    <t>Va incrementata la deduzione in % per il patrimonio edilizio esistente!</t>
  </si>
  <si>
    <t xml:space="preserve">Soglia sostanza </t>
  </si>
  <si>
    <t>Arrotondamento sostanza</t>
  </si>
  <si>
    <t>Calcolo deduzione sostanza</t>
  </si>
  <si>
    <t>Limite di contributo per azienda</t>
  </si>
  <si>
    <t>Costruzione di singoli elementi</t>
  </si>
  <si>
    <t>Contributo per unità</t>
  </si>
  <si>
    <t>Contributo</t>
  </si>
  <si>
    <t>Prestazione cantonale %</t>
  </si>
  <si>
    <t>Definire zona di contribuzione!</t>
  </si>
  <si>
    <t>Zona di contribuzione</t>
  </si>
  <si>
    <t>Tabella di aiuto</t>
  </si>
  <si>
    <t>Contr. fed. e cant.</t>
  </si>
  <si>
    <t>CI normale</t>
  </si>
  <si>
    <t>Solo CI</t>
  </si>
  <si>
    <t>CI doppio</t>
  </si>
  <si>
    <t>Forme di aiuto finanziario</t>
  </si>
  <si>
    <t>Stalla</t>
  </si>
  <si>
    <t>Fienile / silo</t>
  </si>
  <si>
    <t>Impianto per il dep. di concimi</t>
  </si>
  <si>
    <t>Rimessa</t>
  </si>
  <si>
    <t>Totale non ridotto</t>
  </si>
  <si>
    <t>Deduzione limite di contributo per azienda</t>
  </si>
  <si>
    <t>Supplemento costi suppletivi</t>
  </si>
  <si>
    <t>Deduzione limite di sostanza (solo quota federale )</t>
  </si>
  <si>
    <t>Deduzioni / supplementi (contributo solo quota federale)</t>
  </si>
  <si>
    <t>Ripartizione del contributo</t>
  </si>
  <si>
    <t>Contributo federale</t>
  </si>
  <si>
    <t>Contributo cantonale</t>
  </si>
  <si>
    <t>Tabella di aiuto per i limiti e le aliquote aziendali per zona di contributo</t>
  </si>
  <si>
    <t>Zona di contributo</t>
  </si>
  <si>
    <t>Limiti  OMSt</t>
  </si>
  <si>
    <t>Limiti validi</t>
  </si>
  <si>
    <t>Pianura</t>
  </si>
  <si>
    <t>ZC + ZM I</t>
  </si>
  <si>
    <t>ZM II - IV</t>
  </si>
  <si>
    <t>Media pianura - ZC ZM I</t>
  </si>
  <si>
    <t>Media pianura - ZM II-IV</t>
  </si>
  <si>
    <t>Media ZC+ZM I - ZM II-IV</t>
  </si>
  <si>
    <t>Credito di investimento: diversi provvedimenti</t>
  </si>
  <si>
    <t>N. / provvedimento</t>
  </si>
  <si>
    <t>Inserire il numero del provvedimento</t>
  </si>
  <si>
    <t>Acquisto in comune di macchine e veicoli</t>
  </si>
  <si>
    <t>Mutui per organizzazioni contadine di solidarietà</t>
  </si>
  <si>
    <t>Impianto per colture speciali</t>
  </si>
  <si>
    <t>Impianto per la pesca e la piscicoltura indigene</t>
  </si>
  <si>
    <t>Impianto per l'ortoflorovivaismo a titolo professionale</t>
  </si>
  <si>
    <t>Impianto collettivo per la produzione di energia rinnovabile da biomassa</t>
  </si>
  <si>
    <t>Numero e provvedimento</t>
  </si>
  <si>
    <t>Acquisto di aziende agricole da parte degli affittuari</t>
  </si>
  <si>
    <r>
      <t xml:space="preserve">Aliquote CI
</t>
    </r>
    <r>
      <rPr>
        <sz val="10"/>
        <rFont val="Arial"/>
        <family val="2"/>
      </rPr>
      <t>max. 50 %</t>
    </r>
  </si>
  <si>
    <t>ZC</t>
  </si>
  <si>
    <t>ZM I</t>
  </si>
  <si>
    <t>ZM II</t>
  </si>
  <si>
    <t>ZM III</t>
  </si>
  <si>
    <t>ZM IV</t>
  </si>
  <si>
    <t>Estivazione</t>
  </si>
  <si>
    <r>
      <t xml:space="preserve">Aliquota di contributo
</t>
    </r>
    <r>
      <rPr>
        <sz val="10"/>
        <rFont val="Arial"/>
        <family val="2"/>
      </rPr>
      <t>(federale)</t>
    </r>
  </si>
  <si>
    <t>Descrizione del progetto</t>
  </si>
  <si>
    <t>Contributi pubblici</t>
  </si>
  <si>
    <t>Edificio alpestre</t>
  </si>
  <si>
    <t>Abitazione</t>
  </si>
  <si>
    <r>
      <t>Abitazione</t>
    </r>
    <r>
      <rPr>
        <sz val="7"/>
        <rFont val="Arial"/>
        <family val="2"/>
      </rPr>
      <t xml:space="preserve"> (&gt; 50 UBG animali munti)</t>
    </r>
  </si>
  <si>
    <t>Fabbr. e stoccaggio formaggio</t>
  </si>
  <si>
    <t>Stalla compr. deposito concimi</t>
  </si>
  <si>
    <t>Stand di mungitura per lattifera</t>
  </si>
  <si>
    <t>Area di mungitura per lattifera</t>
  </si>
  <si>
    <t>Porcile</t>
  </si>
  <si>
    <t>numero</t>
  </si>
  <si>
    <t>vacca da latte</t>
  </si>
  <si>
    <t>poste</t>
  </si>
  <si>
    <t>fr.</t>
  </si>
  <si>
    <t>CE/CEP: Nombre des exploitations?</t>
  </si>
  <si>
    <r>
      <rPr>
        <b/>
        <sz val="10"/>
        <rFont val="Arial"/>
        <family val="2"/>
      </rPr>
      <t>Avvertenza:</t>
    </r>
    <r>
      <rPr>
        <sz val="10"/>
        <rFont val="Arial"/>
        <family val="2"/>
      </rPr>
      <t xml:space="preserve"> Se i prodotti agricoli trasformati provengono da diverse zone, questi vanno classificati in base alla loro origine. Le aliquote di contributo vanno ponderate conformemente a questa classificazione, stabilendo un’aliquota media. Se più dell’80 per cento dei prodotti proviene da zone con la stessa aliquota di contributo, è applicabile tale aliquota. Se meno del 20 per cento dei prodotti proviene dalla regione di montagna e d’estivazione, non vengono concessi contributi.</t>
    </r>
  </si>
  <si>
    <t>Aiuti finanziari: edificio di economia rurale per UBGFG</t>
  </si>
  <si>
    <t>Aiuti finanziari: diversi provvedimenti</t>
  </si>
  <si>
    <t>Aiuti finanziari: edificio alpestre</t>
  </si>
  <si>
    <t xml:space="preserve">Aiuti finanziari: Obiettivi ecologici </t>
  </si>
  <si>
    <r>
      <t xml:space="preserve">Supplemento </t>
    </r>
    <r>
      <rPr>
        <sz val="8"/>
        <rFont val="Arial"/>
        <family val="2"/>
      </rPr>
      <t>Sì/No</t>
    </r>
  </si>
  <si>
    <t>Deduzione in % del patri. edilizio esist.</t>
  </si>
  <si>
    <r>
      <t>Supplemento</t>
    </r>
    <r>
      <rPr>
        <sz val="8"/>
        <rFont val="Arial"/>
        <family val="2"/>
      </rPr>
      <t xml:space="preserve"> Contributo/unità</t>
    </r>
  </si>
  <si>
    <t>CI / unità</t>
  </si>
  <si>
    <t>Superficie con pendenza trasversale e canaletta delle urine</t>
  </si>
  <si>
    <t>Mangiatoie rialzate</t>
  </si>
  <si>
    <t>Copertura di fosse per il liquame esistenti</t>
  </si>
  <si>
    <t>Impianti di depurazione dell’aria (ammoniaca)</t>
  </si>
  <si>
    <t>Impianti di acidificazione del liquame (ammoniaca)</t>
  </si>
  <si>
    <t>Area di riempimento e piazzale di lavaggio di irroratrici e nebulizzatori</t>
  </si>
  <si>
    <t xml:space="preserve">Copertura dell’area di riempimento e del piazzale di lavaggio </t>
  </si>
  <si>
    <t>Impianto per lo stoccaggio dell'acqua di lavaggio</t>
  </si>
  <si>
    <t>Impianto per l’evaporazione dell’acqua di lavaggio</t>
  </si>
  <si>
    <t>Impianto di varietà robuste di frutta a nocciolo e a granelli</t>
  </si>
  <si>
    <t>Impianto di varietà robuste di vite</t>
  </si>
  <si>
    <t>Bonifica di edifici di economia rurale contaminati da PCB</t>
  </si>
  <si>
    <t>Costi suppletivi sul piano edilizio per l’integrazione ideale</t>
  </si>
  <si>
    <t>Demolizione di edifici di economia rurale</t>
  </si>
  <si>
    <t xml:space="preserve">Produzione o lo stoccaggio di energia sostenibile </t>
  </si>
  <si>
    <r>
      <t xml:space="preserve">Aliquota contributi </t>
    </r>
    <r>
      <rPr>
        <sz val="9"/>
        <rFont val="Arial"/>
        <family val="2"/>
      </rPr>
      <t>max.50%</t>
    </r>
  </si>
  <si>
    <r>
      <t xml:space="preserve">Aliquota contributi
</t>
    </r>
    <r>
      <rPr>
        <sz val="8"/>
        <rFont val="Arial"/>
        <family val="2"/>
      </rPr>
      <t>(federale)</t>
    </r>
  </si>
  <si>
    <r>
      <t xml:space="preserve">Supplemento </t>
    </r>
    <r>
      <rPr>
        <sz val="9"/>
        <rFont val="Arial"/>
        <family val="2"/>
      </rPr>
      <t>max.25%</t>
    </r>
  </si>
  <si>
    <t>Sì</t>
  </si>
  <si>
    <t>No</t>
  </si>
  <si>
    <t>di cui supplemento Confederazione</t>
  </si>
  <si>
    <t>Deduzioni / supplementi (solo quota federale)</t>
  </si>
  <si>
    <t>Ripartizione contributo</t>
  </si>
  <si>
    <t>Altri contributi pubblici</t>
  </si>
  <si>
    <r>
      <t>Aliquote CI</t>
    </r>
    <r>
      <rPr>
        <sz val="9"/>
        <rFont val="Arial"/>
        <family val="2"/>
      </rPr>
      <t xml:space="preserve">
max. 50 %</t>
    </r>
  </si>
  <si>
    <t>Credito di investimento: porcili e pollai SSRA</t>
  </si>
  <si>
    <t>Edificio abitativo</t>
  </si>
  <si>
    <t xml:space="preserve"> Credito di investimento: edifici abitativi</t>
  </si>
  <si>
    <t>Studio di base per provvedimenti collettivi</t>
  </si>
  <si>
    <t>Trasformazione/stoccaggio/commercializzazione in comune</t>
  </si>
  <si>
    <t>Trasformazione/stoccaggio/commercializzazione individuale</t>
  </si>
  <si>
    <t>Lista di selezione: Prodotti agricoli</t>
  </si>
  <si>
    <t>Latte</t>
  </si>
  <si>
    <t>Carne</t>
  </si>
  <si>
    <t>Prodotti vegetali</t>
  </si>
  <si>
    <t>Altri prodotti</t>
  </si>
  <si>
    <t>Tabelle delle aliquote di contributo (contributo federale)</t>
  </si>
  <si>
    <t>Se sono interessate più zone, va calcolata l'aliquota di contribuzione media (Confederazione).</t>
  </si>
  <si>
    <t>Notifiche</t>
  </si>
  <si>
    <t>Inserire il contributo cantonale</t>
  </si>
  <si>
    <t>Il contributo cantonale è troppo basso.</t>
  </si>
  <si>
    <t>Forma aziendale</t>
  </si>
  <si>
    <t>Lista di selezione: Forma aziendale</t>
  </si>
  <si>
    <t>Azienda agricola</t>
  </si>
  <si>
    <t>Piccola azienda artigianale</t>
  </si>
  <si>
    <t>Comunità di produttori</t>
  </si>
  <si>
    <t>Calcolo ausiliario dell'aliquota di contributo media (Confederazione) sulla base delle aliquote (%) per zona</t>
  </si>
  <si>
    <t>Attività in ambito agricolo</t>
  </si>
  <si>
    <t>Prodotto agricolo trasformato</t>
  </si>
  <si>
    <t>Indicare le forme di aiuto finanziario!</t>
  </si>
  <si>
    <t>Elemento con aliquota forfettaria</t>
  </si>
  <si>
    <t>Altri elementi</t>
  </si>
  <si>
    <t>Valore USM</t>
  </si>
  <si>
    <t>per ogni 0.500 in più</t>
  </si>
  <si>
    <t>Aziende dedite alla pesca o alla piscicoltura</t>
  </si>
  <si>
    <t>Aiuto iniziale per aziende dedite alla pesca o alla piscicoltura</t>
  </si>
  <si>
    <t>Limite max. CI</t>
  </si>
  <si>
    <t>Iniziative collettive per ridurre i costi di produzione</t>
  </si>
  <si>
    <t>La somma delle quote non può essere superiore al 100 %.</t>
  </si>
  <si>
    <t>La somma delle quote non può essere inferiore al 100 %.</t>
  </si>
  <si>
    <t>Estiva-zione</t>
  </si>
  <si>
    <t>Calcolo ausiliario delle quote (%) per zona sulla base dei quantitativi di prodotto (kg, ha, …)</t>
  </si>
  <si>
    <t>Limite max. contributo</t>
  </si>
  <si>
    <t xml:space="preserve">Obiettivi ecologici </t>
  </si>
  <si>
    <t>73 Obiet. ecol.</t>
  </si>
  <si>
    <t>47 edificio alpestre</t>
  </si>
  <si>
    <t>Diversi provvedimenti sostenuti con CI e contributo</t>
  </si>
  <si>
    <t>div. CI &amp; Contributo</t>
  </si>
  <si>
    <t>Diversi provvedimenit sostenuti solo mediante CI</t>
  </si>
  <si>
    <t>div. CI</t>
  </si>
  <si>
    <t>Edificio di economia rurale per UBGFG</t>
  </si>
  <si>
    <t>41 UBGFG</t>
  </si>
  <si>
    <t>Porcili e pollai</t>
  </si>
  <si>
    <t>32+33 suini e poll.</t>
  </si>
  <si>
    <t>Edificio d'abitazione</t>
  </si>
  <si>
    <t>30 abitazione</t>
  </si>
  <si>
    <t>Aiuto iniziale</t>
  </si>
  <si>
    <t>20 aiuto iniziale</t>
  </si>
  <si>
    <t>Provvedimenti/calcoli contemplati</t>
  </si>
  <si>
    <t>Nome del foglio della tabella</t>
  </si>
  <si>
    <t>Indice</t>
  </si>
  <si>
    <t>Questi moduli di calcolo sono stati allestiti per le autorità preposte all'esecuzione. Tuttavia sono pubblicati in Internet in modo che anche le persone interessate possano calcolare gli aiuti finanziari in piena autonomia. Il calcolo definitivo viene però sempre effettuato dall'autorità cantonale preposta all'esecuzione sulla scorta delle basi legali della Confederazione e del Cantone. In caso di domande rivolgersi alle autorità cantonali preposte all'esecuzione nell'ambito dei miglioramenti strutturali.</t>
  </si>
  <si>
    <t>Riserva</t>
  </si>
  <si>
    <t>Ordinanza sui miglioramenti strutturali (OMSt)</t>
  </si>
  <si>
    <t>Art. 87 e segg. Legge sull’agricoltura (LAgr)</t>
  </si>
  <si>
    <t>Basi legali</t>
  </si>
  <si>
    <t>Moduli di calcolo edifici agricoli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</si>
</sst>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43" formatCode="_ * #,##0.00_ ;_ * \-#,##0.00_ ;_ * &quot;-&quot;??_ ;_ @_ "/>
    <numFmt numFmtId="164" formatCode="0.000"/>
    <numFmt numFmtId="165" formatCode="_ * #,##0_ ;_ * \-#,##0_ ;_ * &quot;-&quot;??_ ;_ @_ "/>
    <numFmt numFmtId="166" formatCode="0.0"/>
    <numFmt numFmtId="167" formatCode="_ * #,##0.0_ ;_ * \-#,##0.0_ ;_ * &quot;-&quot;??_ ;_ @_ "/>
    <numFmt numFmtId="168" formatCode="#,##0_ ;\-#,##0\ "/>
    <numFmt numFmtId="169" formatCode="#,##0.0_ ;\-#,##0.0\ "/>
    <numFmt numFmtId="170" formatCode="0.000%"/>
    <numFmt numFmtId="171" formatCode="0.0%"/>
  </numFmts>
  <fonts count="51" x14ac:knownFonts="1">
    <font>
      <sz val="10"/>
      <name val="Arial"/>
    </font>
    <font>
      <sz val="11"/>
      <color theme="1"/>
      <name val="Arial"/>
      <family val="2"/>
    </font>
    <font>
      <sz val="11"/>
      <color theme="1"/>
      <name val="Arial"/>
      <family val="2"/>
    </font>
    <font>
      <sz val="11"/>
      <color theme="1"/>
      <name val="Arial"/>
      <family val="2"/>
    </font>
    <font>
      <sz val="10"/>
      <name val="Arial"/>
      <family val="2"/>
    </font>
    <font>
      <b/>
      <sz val="14"/>
      <name val="Arial"/>
      <family val="2"/>
    </font>
    <font>
      <b/>
      <sz val="12"/>
      <name val="Arial"/>
      <family val="2"/>
    </font>
    <font>
      <b/>
      <sz val="10"/>
      <name val="Arial"/>
      <family val="2"/>
    </font>
    <font>
      <sz val="10"/>
      <name val="Arial"/>
      <family val="2"/>
    </font>
    <font>
      <sz val="8"/>
      <name val="Arial"/>
      <family val="2"/>
    </font>
    <font>
      <sz val="12"/>
      <name val="Arial"/>
      <family val="2"/>
    </font>
    <font>
      <b/>
      <sz val="11"/>
      <name val="Arial"/>
      <family val="2"/>
    </font>
    <font>
      <sz val="9"/>
      <name val="Arial"/>
      <family val="2"/>
    </font>
    <font>
      <b/>
      <sz val="8"/>
      <name val="Arial"/>
      <family val="2"/>
    </font>
    <font>
      <b/>
      <sz val="9"/>
      <name val="Arial"/>
      <family val="2"/>
    </font>
    <font>
      <i/>
      <sz val="9"/>
      <name val="Arial"/>
      <family val="2"/>
    </font>
    <font>
      <sz val="8"/>
      <color indexed="12"/>
      <name val="Arial"/>
      <family val="2"/>
    </font>
    <font>
      <sz val="10"/>
      <color indexed="12"/>
      <name val="Arial"/>
      <family val="2"/>
    </font>
    <font>
      <b/>
      <sz val="8"/>
      <color rgb="FFFF0000"/>
      <name val="Arial"/>
      <family val="2"/>
    </font>
    <font>
      <sz val="8"/>
      <color rgb="FFFF0000"/>
      <name val="Arial"/>
      <family val="2"/>
    </font>
    <font>
      <b/>
      <i/>
      <sz val="12"/>
      <name val="Arial"/>
      <family val="2"/>
    </font>
    <font>
      <strike/>
      <sz val="10"/>
      <name val="Arial"/>
      <family val="2"/>
    </font>
    <font>
      <strike/>
      <sz val="8"/>
      <name val="Arial"/>
      <family val="2"/>
    </font>
    <font>
      <strike/>
      <sz val="8"/>
      <color indexed="12"/>
      <name val="Arial"/>
      <family val="2"/>
    </font>
    <font>
      <b/>
      <strike/>
      <sz val="8"/>
      <color rgb="FFFF0000"/>
      <name val="Arial"/>
      <family val="2"/>
    </font>
    <font>
      <b/>
      <u/>
      <sz val="10"/>
      <name val="Arial"/>
      <family val="2"/>
    </font>
    <font>
      <sz val="10"/>
      <name val="Arial Narrow"/>
      <family val="2"/>
    </font>
    <font>
      <i/>
      <sz val="10"/>
      <name val="Arial Narrow"/>
      <family val="2"/>
    </font>
    <font>
      <i/>
      <sz val="10"/>
      <name val="Arial"/>
      <family val="2"/>
    </font>
    <font>
      <i/>
      <sz val="8"/>
      <name val="Arial"/>
      <family val="2"/>
    </font>
    <font>
      <b/>
      <i/>
      <sz val="10"/>
      <name val="Arial"/>
      <family val="2"/>
    </font>
    <font>
      <sz val="7"/>
      <name val="Arial"/>
      <family val="2"/>
    </font>
    <font>
      <sz val="9"/>
      <color indexed="81"/>
      <name val="Segoe UI"/>
      <family val="2"/>
    </font>
    <font>
      <sz val="11"/>
      <name val="Arial"/>
      <family val="2"/>
    </font>
    <font>
      <sz val="10"/>
      <color theme="0" tint="-0.499984740745262"/>
      <name val="Arial"/>
      <family val="2"/>
    </font>
    <font>
      <i/>
      <sz val="10"/>
      <color theme="0" tint="-0.499984740745262"/>
      <name val="Arial"/>
      <family val="2"/>
    </font>
    <font>
      <sz val="10"/>
      <color rgb="FFFF0000"/>
      <name val="Arial"/>
      <family val="2"/>
    </font>
    <font>
      <strike/>
      <sz val="10"/>
      <color rgb="FFFF0000"/>
      <name val="Arial"/>
      <family val="2"/>
    </font>
    <font>
      <sz val="10"/>
      <name val="Arial"/>
      <family val="2"/>
    </font>
    <font>
      <b/>
      <i/>
      <sz val="9"/>
      <color theme="1" tint="0.499984740745262"/>
      <name val="Arial"/>
      <family val="2"/>
    </font>
    <font>
      <b/>
      <i/>
      <sz val="10"/>
      <color theme="1" tint="0.499984740745262"/>
      <name val="Arial"/>
      <family val="2"/>
    </font>
    <font>
      <b/>
      <sz val="9"/>
      <color rgb="FFC00000"/>
      <name val="Arial"/>
      <family val="2"/>
    </font>
    <font>
      <u/>
      <sz val="10"/>
      <color theme="10"/>
      <name val="Arial"/>
    </font>
    <font>
      <sz val="10"/>
      <color theme="0"/>
      <name val="Arial"/>
      <family val="2"/>
    </font>
    <font>
      <b/>
      <sz val="10"/>
      <color theme="0"/>
      <name val="Arial"/>
      <family val="2"/>
    </font>
    <font>
      <sz val="8"/>
      <color theme="0"/>
      <name val="Arial"/>
      <family val="2"/>
    </font>
    <font>
      <b/>
      <sz val="12"/>
      <color theme="0"/>
      <name val="Arial"/>
      <family val="2"/>
    </font>
    <font>
      <strike/>
      <sz val="8"/>
      <color theme="0"/>
      <name val="Arial"/>
      <family val="2"/>
    </font>
    <font>
      <b/>
      <sz val="8"/>
      <color theme="0"/>
      <name val="Arial"/>
      <family val="2"/>
    </font>
    <font>
      <sz val="12"/>
      <color theme="0"/>
      <name val="Arial"/>
      <family val="2"/>
    </font>
    <font>
      <i/>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8EF6A2"/>
        <bgColor indexed="64"/>
      </patternFill>
    </fill>
    <fill>
      <patternFill patternType="solid">
        <fgColor rgb="FFFFFFCC"/>
        <bgColor indexed="64"/>
      </patternFill>
    </fill>
  </fills>
  <borders count="94">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hair">
        <color indexed="64"/>
      </top>
      <bottom style="thin">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8"/>
      </right>
      <top style="thin">
        <color indexed="64"/>
      </top>
      <bottom/>
      <diagonal/>
    </border>
    <border>
      <left/>
      <right style="thin">
        <color indexed="8"/>
      </right>
      <top/>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style="thin">
        <color indexed="64"/>
      </bottom>
      <diagonal/>
    </border>
    <border>
      <left/>
      <right style="thin">
        <color indexed="8"/>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hair">
        <color indexed="64"/>
      </bottom>
      <diagonal/>
    </border>
    <border>
      <left style="thin">
        <color indexed="8"/>
      </left>
      <right style="thin">
        <color indexed="64"/>
      </right>
      <top style="thin">
        <color indexed="64"/>
      </top>
      <bottom style="hair">
        <color indexed="8"/>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hair">
        <color indexed="64"/>
      </top>
      <bottom style="thin">
        <color theme="0" tint="-0.499984740745262"/>
      </bottom>
      <diagonal/>
    </border>
    <border>
      <left style="thin">
        <color indexed="64"/>
      </left>
      <right style="thin">
        <color theme="0" tint="-0.499984740745262"/>
      </right>
      <top style="hair">
        <color indexed="64"/>
      </top>
      <bottom/>
      <diagonal/>
    </border>
    <border>
      <left style="thin">
        <color indexed="64"/>
      </left>
      <right style="thin">
        <color theme="0" tint="-0.499984740745262"/>
      </right>
      <top/>
      <bottom style="hair">
        <color indexed="64"/>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bottom style="thin">
        <color theme="0" tint="-0.499984740745262"/>
      </bottom>
      <diagonal/>
    </border>
    <border>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diagonal/>
    </border>
    <border>
      <left style="thin">
        <color theme="0" tint="-0.499984740745262"/>
      </left>
      <right style="thin">
        <color theme="0" tint="-0.499984740745262"/>
      </right>
      <top/>
      <bottom style="thin">
        <color indexed="64"/>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right/>
      <top style="thin">
        <color theme="0" tint="-0.499984740745262"/>
      </top>
      <bottom/>
      <diagonal/>
    </border>
    <border>
      <left style="thin">
        <color indexed="64"/>
      </left>
      <right style="hair">
        <color indexed="64"/>
      </right>
      <top style="thin">
        <color indexed="64"/>
      </top>
      <bottom/>
      <diagonal/>
    </border>
  </borders>
  <cellStyleXfs count="16">
    <xf numFmtId="0" fontId="0" fillId="0" borderId="0"/>
    <xf numFmtId="43" fontId="4" fillId="0" borderId="0" applyFont="0" applyFill="0" applyBorder="0" applyAlignment="0" applyProtection="0"/>
    <xf numFmtId="43" fontId="4"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xf numFmtId="9" fontId="38" fillId="0" borderId="0" applyFont="0" applyFill="0" applyBorder="0" applyAlignment="0" applyProtection="0"/>
    <xf numFmtId="0" fontId="42" fillId="0" borderId="0" applyNumberFormat="0" applyFill="0" applyBorder="0" applyAlignment="0" applyProtection="0"/>
  </cellStyleXfs>
  <cellXfs count="1397">
    <xf numFmtId="0" fontId="0" fillId="0" borderId="0" xfId="0"/>
    <xf numFmtId="0" fontId="0" fillId="0" borderId="0" xfId="0" applyFill="1" applyAlignment="1" applyProtection="1">
      <alignment vertical="center"/>
    </xf>
    <xf numFmtId="0" fontId="0" fillId="0" borderId="0" xfId="0" applyFill="1" applyBorder="1" applyAlignment="1" applyProtection="1">
      <alignment vertical="center"/>
    </xf>
    <xf numFmtId="0" fontId="8" fillId="0" borderId="21" xfId="0" applyFont="1" applyFill="1" applyBorder="1" applyAlignment="1" applyProtection="1">
      <alignment vertical="center"/>
    </xf>
    <xf numFmtId="0" fontId="8" fillId="0" borderId="6" xfId="0" applyFont="1" applyFill="1" applyBorder="1" applyAlignment="1" applyProtection="1">
      <alignment vertical="center"/>
    </xf>
    <xf numFmtId="0" fontId="9" fillId="0" borderId="0" xfId="0" applyFont="1" applyFill="1" applyBorder="1" applyAlignment="1" applyProtection="1">
      <alignment vertical="center"/>
    </xf>
    <xf numFmtId="0" fontId="8" fillId="0" borderId="0" xfId="0" applyFont="1" applyFill="1" applyBorder="1" applyProtection="1"/>
    <xf numFmtId="0" fontId="8" fillId="0" borderId="37" xfId="0" applyFont="1" applyFill="1" applyBorder="1" applyAlignment="1" applyProtection="1">
      <alignment vertical="center"/>
    </xf>
    <xf numFmtId="0" fontId="7" fillId="0" borderId="37" xfId="0" applyFont="1" applyFill="1" applyBorder="1" applyAlignment="1" applyProtection="1">
      <alignment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2" fontId="8" fillId="0" borderId="20" xfId="0" applyNumberFormat="1" applyFont="1" applyFill="1" applyBorder="1" applyAlignment="1" applyProtection="1">
      <alignment horizontal="center" vertical="center"/>
    </xf>
    <xf numFmtId="0" fontId="8" fillId="0" borderId="0" xfId="0" applyFont="1" applyFill="1" applyProtection="1"/>
    <xf numFmtId="0" fontId="0" fillId="0" borderId="0" xfId="0" applyFill="1" applyBorder="1" applyProtection="1"/>
    <xf numFmtId="165" fontId="8" fillId="0" borderId="0" xfId="0" applyNumberFormat="1" applyFont="1" applyFill="1" applyBorder="1" applyAlignment="1" applyProtection="1">
      <alignment horizontal="center"/>
    </xf>
    <xf numFmtId="43" fontId="8" fillId="0" borderId="0" xfId="0" applyNumberFormat="1" applyFont="1" applyFill="1" applyBorder="1" applyProtection="1"/>
    <xf numFmtId="165" fontId="8" fillId="0" borderId="0" xfId="0" applyNumberFormat="1" applyFont="1" applyFill="1" applyBorder="1" applyProtection="1"/>
    <xf numFmtId="0" fontId="0" fillId="0" borderId="0" xfId="0" applyFill="1" applyProtection="1"/>
    <xf numFmtId="0" fontId="8" fillId="0" borderId="0" xfId="0" applyFont="1" applyFill="1" applyBorder="1" applyAlignment="1" applyProtection="1"/>
    <xf numFmtId="0" fontId="8" fillId="0" borderId="0" xfId="0" applyFont="1" applyFill="1" applyAlignment="1" applyProtection="1"/>
    <xf numFmtId="0" fontId="7" fillId="0" borderId="0" xfId="0" applyFont="1" applyFill="1" applyAlignment="1" applyProtection="1">
      <alignment vertical="center"/>
    </xf>
    <xf numFmtId="0" fontId="7" fillId="0" borderId="41" xfId="0" applyFont="1" applyFill="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7" fillId="0" borderId="0" xfId="0" applyFont="1" applyFill="1" applyAlignment="1" applyProtection="1"/>
    <xf numFmtId="0" fontId="9" fillId="0" borderId="41" xfId="0" applyFont="1" applyFill="1" applyBorder="1" applyAlignment="1" applyProtection="1">
      <alignment horizontal="center" vertical="center"/>
    </xf>
    <xf numFmtId="0" fontId="7" fillId="0" borderId="0" xfId="0" applyFont="1" applyFill="1" applyProtection="1"/>
    <xf numFmtId="165" fontId="7" fillId="0" borderId="0" xfId="0" applyNumberFormat="1" applyFont="1" applyFill="1" applyBorder="1" applyAlignment="1" applyProtection="1">
      <alignment vertical="center"/>
    </xf>
    <xf numFmtId="165" fontId="7" fillId="0" borderId="41" xfId="0" applyNumberFormat="1" applyFont="1" applyFill="1" applyBorder="1" applyAlignment="1" applyProtection="1">
      <alignment vertical="center"/>
    </xf>
    <xf numFmtId="165" fontId="9" fillId="0" borderId="0" xfId="1" applyNumberFormat="1" applyFont="1" applyFill="1" applyBorder="1" applyAlignment="1" applyProtection="1">
      <alignment vertical="center"/>
    </xf>
    <xf numFmtId="0" fontId="0" fillId="0" borderId="0" xfId="0" applyFill="1" applyAlignment="1" applyProtection="1"/>
    <xf numFmtId="0" fontId="10" fillId="0" borderId="0" xfId="0" applyFont="1" applyFill="1" applyAlignment="1" applyProtection="1">
      <alignment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Protection="1"/>
    <xf numFmtId="0" fontId="7" fillId="0" borderId="0" xfId="0" applyFont="1" applyFill="1" applyBorder="1" applyProtection="1"/>
    <xf numFmtId="0" fontId="6" fillId="0" borderId="0" xfId="0" applyFont="1" applyFill="1" applyBorder="1" applyAlignment="1" applyProtection="1">
      <alignment vertical="center"/>
    </xf>
    <xf numFmtId="0" fontId="10" fillId="0" borderId="0" xfId="0" applyFont="1" applyFill="1" applyProtection="1"/>
    <xf numFmtId="0" fontId="6" fillId="0" borderId="0" xfId="0" applyFont="1" applyFill="1" applyAlignment="1" applyProtection="1">
      <alignment horizontal="left" vertical="center"/>
    </xf>
    <xf numFmtId="0" fontId="9" fillId="0" borderId="0" xfId="0" applyFont="1" applyFill="1" applyBorder="1" applyProtection="1"/>
    <xf numFmtId="165" fontId="8" fillId="0" borderId="37" xfId="1" applyNumberFormat="1" applyFont="1" applyFill="1" applyBorder="1" applyAlignment="1" applyProtection="1">
      <alignment horizontal="center" vertical="center"/>
    </xf>
    <xf numFmtId="165" fontId="8" fillId="0" borderId="38" xfId="1" applyNumberFormat="1" applyFont="1" applyFill="1" applyBorder="1" applyAlignment="1" applyProtection="1">
      <alignment horizontal="center" vertical="center"/>
    </xf>
    <xf numFmtId="0" fontId="9" fillId="0" borderId="0" xfId="0" applyFont="1" applyFill="1" applyProtection="1"/>
    <xf numFmtId="165" fontId="9" fillId="0" borderId="0" xfId="0" applyNumberFormat="1" applyFont="1" applyFill="1" applyProtection="1"/>
    <xf numFmtId="165" fontId="9" fillId="0" borderId="0" xfId="0" applyNumberFormat="1" applyFont="1" applyFill="1" applyBorder="1" applyProtection="1"/>
    <xf numFmtId="0" fontId="0" fillId="0" borderId="0" xfId="0" applyBorder="1" applyAlignment="1" applyProtection="1">
      <alignment horizontal="left" vertical="top" wrapText="1"/>
    </xf>
    <xf numFmtId="0" fontId="16" fillId="0" borderId="0" xfId="0" applyFont="1" applyFill="1" applyBorder="1" applyProtection="1"/>
    <xf numFmtId="0" fontId="17" fillId="0" borderId="0" xfId="0" applyFont="1" applyFill="1" applyBorder="1" applyProtection="1"/>
    <xf numFmtId="0" fontId="17" fillId="0" borderId="0" xfId="0" applyFont="1" applyFill="1" applyProtection="1"/>
    <xf numFmtId="0" fontId="16" fillId="0" borderId="0" xfId="0" applyFont="1" applyFill="1" applyProtection="1"/>
    <xf numFmtId="0" fontId="9" fillId="0" borderId="0" xfId="0" applyFont="1" applyFill="1" applyAlignment="1" applyProtection="1">
      <alignment horizontal="right"/>
    </xf>
    <xf numFmtId="2" fontId="8" fillId="0" borderId="0" xfId="0" applyNumberFormat="1" applyFont="1" applyFill="1" applyProtection="1"/>
    <xf numFmtId="2" fontId="8" fillId="0" borderId="0" xfId="0" applyNumberFormat="1" applyFont="1" applyFill="1" applyBorder="1" applyAlignment="1" applyProtection="1">
      <alignment horizontal="center"/>
    </xf>
    <xf numFmtId="2" fontId="8" fillId="0" borderId="0" xfId="0" applyNumberFormat="1" applyFont="1" applyFill="1" applyBorder="1" applyProtection="1"/>
    <xf numFmtId="2" fontId="0" fillId="0" borderId="0" xfId="0" applyNumberFormat="1" applyFill="1" applyProtection="1"/>
    <xf numFmtId="0" fontId="16" fillId="0" borderId="0" xfId="0" applyFont="1" applyFill="1" applyAlignment="1" applyProtection="1">
      <alignment horizontal="right"/>
    </xf>
    <xf numFmtId="0" fontId="13" fillId="0" borderId="0" xfId="0" applyFont="1" applyFill="1" applyAlignment="1" applyProtection="1">
      <alignment horizontal="center" vertical="center"/>
    </xf>
    <xf numFmtId="0" fontId="13" fillId="0" borderId="0" xfId="0" applyFont="1" applyFill="1" applyProtection="1"/>
    <xf numFmtId="0" fontId="9" fillId="0" borderId="0" xfId="0" applyFont="1" applyFill="1" applyBorder="1" applyAlignment="1" applyProtection="1">
      <alignment horizontal="right"/>
    </xf>
    <xf numFmtId="0" fontId="13" fillId="0" borderId="0" xfId="0" applyFont="1" applyFill="1" applyAlignment="1" applyProtection="1">
      <alignment vertical="center"/>
    </xf>
    <xf numFmtId="0" fontId="13" fillId="0" borderId="0" xfId="0" applyFont="1" applyFill="1" applyAlignment="1" applyProtection="1"/>
    <xf numFmtId="0" fontId="14" fillId="0" borderId="1"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8" fillId="0" borderId="2" xfId="0" applyFont="1" applyFill="1" applyBorder="1" applyProtection="1"/>
    <xf numFmtId="0" fontId="9" fillId="0" borderId="2" xfId="0" applyFont="1" applyFill="1" applyBorder="1" applyProtection="1"/>
    <xf numFmtId="165" fontId="9" fillId="0" borderId="2" xfId="1" applyNumberFormat="1" applyFont="1" applyFill="1" applyBorder="1" applyAlignment="1" applyProtection="1">
      <alignment vertical="center"/>
    </xf>
    <xf numFmtId="0" fontId="6" fillId="0" borderId="2" xfId="0" applyFont="1" applyFill="1" applyBorder="1" applyAlignment="1" applyProtection="1">
      <alignment vertical="center"/>
    </xf>
    <xf numFmtId="0" fontId="0" fillId="0" borderId="20" xfId="0" applyFill="1" applyBorder="1" applyProtection="1"/>
    <xf numFmtId="0" fontId="8" fillId="0" borderId="20" xfId="0" applyFont="1" applyFill="1" applyBorder="1" applyProtection="1"/>
    <xf numFmtId="0" fontId="9" fillId="0" borderId="0" xfId="0" applyFont="1" applyFill="1" applyBorder="1" applyAlignment="1" applyProtection="1">
      <alignment horizontal="left" vertical="center"/>
    </xf>
    <xf numFmtId="165" fontId="7" fillId="0" borderId="0" xfId="1" applyNumberFormat="1" applyFont="1" applyFill="1" applyBorder="1" applyAlignment="1" applyProtection="1">
      <alignment vertical="center"/>
    </xf>
    <xf numFmtId="0" fontId="7" fillId="0" borderId="0" xfId="0" applyFont="1" applyFill="1" applyAlignment="1" applyProtection="1">
      <alignment horizontal="left" vertical="center"/>
    </xf>
    <xf numFmtId="165" fontId="9" fillId="0" borderId="0" xfId="0" applyNumberFormat="1" applyFont="1" applyFill="1" applyBorder="1" applyAlignment="1" applyProtection="1"/>
    <xf numFmtId="0" fontId="12" fillId="0" borderId="0" xfId="0" applyFont="1" applyFill="1" applyBorder="1" applyProtection="1"/>
    <xf numFmtId="164" fontId="12" fillId="0" borderId="37" xfId="0" applyNumberFormat="1" applyFont="1" applyFill="1" applyBorder="1" applyAlignment="1" applyProtection="1">
      <alignment horizontal="center" vertical="center"/>
    </xf>
    <xf numFmtId="164" fontId="12" fillId="0" borderId="38" xfId="0" applyNumberFormat="1" applyFont="1" applyFill="1" applyBorder="1" applyAlignment="1" applyProtection="1">
      <alignment horizontal="center" vertical="center"/>
    </xf>
    <xf numFmtId="164" fontId="14" fillId="0" borderId="44" xfId="0" applyNumberFormat="1" applyFont="1" applyFill="1" applyBorder="1" applyAlignment="1" applyProtection="1">
      <alignment horizontal="center" vertical="center"/>
    </xf>
    <xf numFmtId="2" fontId="12" fillId="0" borderId="37" xfId="0" applyNumberFormat="1" applyFont="1" applyFill="1" applyBorder="1" applyAlignment="1" applyProtection="1">
      <alignment horizontal="center" vertical="center"/>
    </xf>
    <xf numFmtId="164" fontId="14" fillId="0" borderId="41" xfId="0" applyNumberFormat="1" applyFont="1" applyFill="1" applyBorder="1" applyAlignment="1" applyProtection="1">
      <alignment horizontal="center" vertical="center"/>
    </xf>
    <xf numFmtId="0" fontId="7" fillId="0" borderId="7" xfId="0" applyFont="1" applyFill="1" applyBorder="1" applyProtection="1"/>
    <xf numFmtId="164" fontId="9" fillId="0" borderId="37" xfId="0" applyNumberFormat="1" applyFont="1" applyFill="1" applyBorder="1" applyAlignment="1" applyProtection="1">
      <alignment horizontal="center" vertical="center"/>
    </xf>
    <xf numFmtId="164" fontId="12" fillId="0" borderId="36" xfId="0" applyNumberFormat="1" applyFont="1" applyFill="1" applyBorder="1" applyAlignment="1" applyProtection="1">
      <alignment horizontal="center" vertical="center"/>
    </xf>
    <xf numFmtId="164" fontId="9" fillId="0" borderId="38"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0" fontId="4" fillId="0" borderId="0" xfId="0" applyFont="1" applyFill="1" applyProtection="1"/>
    <xf numFmtId="0" fontId="5" fillId="0" borderId="0" xfId="0"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wrapText="1"/>
    </xf>
    <xf numFmtId="165" fontId="16" fillId="0" borderId="0" xfId="0" applyNumberFormat="1" applyFont="1" applyFill="1" applyBorder="1" applyAlignment="1" applyProtection="1">
      <alignment horizontal="center" vertical="center"/>
    </xf>
    <xf numFmtId="165" fontId="4" fillId="0" borderId="0" xfId="1" applyNumberFormat="1" applyFont="1" applyFill="1" applyBorder="1" applyAlignment="1" applyProtection="1">
      <alignment vertical="center"/>
    </xf>
    <xf numFmtId="0" fontId="4" fillId="0" borderId="0" xfId="0" applyFont="1" applyFill="1" applyAlignment="1" applyProtection="1"/>
    <xf numFmtId="0" fontId="4" fillId="0" borderId="37"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NumberFormat="1" applyFont="1" applyBorder="1" applyAlignment="1" applyProtection="1">
      <alignment horizontal="left" vertical="center"/>
    </xf>
    <xf numFmtId="0" fontId="4" fillId="0" borderId="0" xfId="0" applyFont="1" applyFill="1" applyAlignment="1" applyProtection="1">
      <alignment vertical="center"/>
    </xf>
    <xf numFmtId="164" fontId="12" fillId="0" borderId="42" xfId="0" applyNumberFormat="1" applyFont="1" applyFill="1" applyBorder="1" applyAlignment="1" applyProtection="1">
      <alignment horizontal="center"/>
    </xf>
    <xf numFmtId="164" fontId="12" fillId="0" borderId="15" xfId="0" applyNumberFormat="1" applyFont="1" applyFill="1" applyBorder="1" applyAlignment="1" applyProtection="1">
      <alignment horizontal="center" vertical="center"/>
    </xf>
    <xf numFmtId="0" fontId="18" fillId="0" borderId="0" xfId="0" applyFont="1" applyFill="1" applyAlignment="1" applyProtection="1">
      <alignment horizontal="left"/>
    </xf>
    <xf numFmtId="0" fontId="7" fillId="0" borderId="6" xfId="0" applyFont="1" applyFill="1" applyBorder="1" applyAlignment="1" applyProtection="1">
      <alignment vertical="top"/>
    </xf>
    <xf numFmtId="0" fontId="7" fillId="0" borderId="7" xfId="0" applyFont="1" applyFill="1" applyBorder="1" applyAlignment="1" applyProtection="1">
      <alignment vertical="top"/>
    </xf>
    <xf numFmtId="0" fontId="7" fillId="0" borderId="30" xfId="0" applyFont="1" applyFill="1" applyBorder="1" applyAlignment="1" applyProtection="1">
      <alignment vertical="top"/>
    </xf>
    <xf numFmtId="2" fontId="16" fillId="0" borderId="0" xfId="0" applyNumberFormat="1" applyFont="1" applyFill="1" applyBorder="1" applyAlignment="1" applyProtection="1">
      <alignment horizontal="left"/>
    </xf>
    <xf numFmtId="2" fontId="16" fillId="0" borderId="0" xfId="0" applyNumberFormat="1" applyFont="1" applyFill="1" applyBorder="1" applyProtection="1"/>
    <xf numFmtId="164" fontId="18" fillId="0" borderId="0" xfId="0" applyNumberFormat="1" applyFont="1" applyFill="1" applyAlignment="1" applyProtection="1">
      <alignment horizontal="left"/>
    </xf>
    <xf numFmtId="164" fontId="9" fillId="0" borderId="39" xfId="0" applyNumberFormat="1" applyFont="1" applyFill="1" applyBorder="1" applyAlignment="1" applyProtection="1">
      <alignment horizontal="center" vertical="center"/>
    </xf>
    <xf numFmtId="164" fontId="9" fillId="0" borderId="42" xfId="0" applyNumberFormat="1" applyFont="1" applyFill="1" applyBorder="1" applyAlignment="1" applyProtection="1">
      <alignment horizontal="center"/>
    </xf>
    <xf numFmtId="164" fontId="12" fillId="0" borderId="37" xfId="0" applyNumberFormat="1" applyFont="1" applyFill="1" applyBorder="1" applyAlignment="1" applyProtection="1">
      <alignment horizontal="center"/>
    </xf>
    <xf numFmtId="165" fontId="4" fillId="0" borderId="0" xfId="1" applyNumberFormat="1" applyFont="1" applyFill="1" applyBorder="1" applyAlignment="1" applyProtection="1">
      <alignment horizontal="center" vertical="center"/>
    </xf>
    <xf numFmtId="165" fontId="18" fillId="0" borderId="0" xfId="0" applyNumberFormat="1" applyFont="1" applyFill="1" applyAlignment="1" applyProtection="1">
      <alignment horizontal="left"/>
    </xf>
    <xf numFmtId="0" fontId="14" fillId="0" borderId="41" xfId="0" applyFont="1" applyFill="1" applyBorder="1" applyAlignment="1" applyProtection="1">
      <alignment horizontal="left" vertical="top" wrapText="1"/>
    </xf>
    <xf numFmtId="0" fontId="13" fillId="0" borderId="0" xfId="0" applyFont="1" applyFill="1" applyBorder="1" applyAlignment="1" applyProtection="1">
      <alignment horizontal="center" vertical="center"/>
    </xf>
    <xf numFmtId="0" fontId="13" fillId="0" borderId="0" xfId="0" applyFont="1" applyFill="1" applyAlignment="1" applyProtection="1">
      <alignment horizontal="left"/>
    </xf>
    <xf numFmtId="0" fontId="0" fillId="0" borderId="0" xfId="0" applyFill="1" applyAlignment="1" applyProtection="1">
      <alignment horizontal="left"/>
    </xf>
    <xf numFmtId="165" fontId="9" fillId="0" borderId="0" xfId="0" applyNumberFormat="1" applyFont="1" applyFill="1" applyAlignment="1" applyProtection="1"/>
    <xf numFmtId="0" fontId="9" fillId="0" borderId="0" xfId="0" applyFont="1" applyFill="1" applyAlignment="1" applyProtection="1">
      <alignment horizontal="left"/>
    </xf>
    <xf numFmtId="165" fontId="9" fillId="0" borderId="0" xfId="0" applyNumberFormat="1" applyFont="1" applyFill="1" applyAlignment="1" applyProtection="1">
      <alignment vertical="center"/>
    </xf>
    <xf numFmtId="0" fontId="4" fillId="2" borderId="37" xfId="0" applyFont="1" applyFill="1" applyBorder="1" applyAlignment="1" applyProtection="1">
      <alignment vertical="center"/>
    </xf>
    <xf numFmtId="0" fontId="9" fillId="2" borderId="37"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165" fontId="7" fillId="2" borderId="36" xfId="1" applyNumberFormat="1" applyFont="1" applyFill="1" applyBorder="1" applyAlignment="1" applyProtection="1">
      <alignment vertical="center"/>
    </xf>
    <xf numFmtId="0" fontId="4" fillId="2" borderId="4" xfId="0" applyFont="1" applyFill="1" applyBorder="1" applyAlignment="1" applyProtection="1">
      <alignment vertical="center"/>
    </xf>
    <xf numFmtId="0" fontId="4" fillId="2" borderId="8" xfId="0" applyFont="1" applyFill="1" applyBorder="1" applyAlignment="1" applyProtection="1">
      <alignment vertical="center"/>
    </xf>
    <xf numFmtId="0" fontId="9" fillId="2" borderId="9" xfId="0" applyFont="1" applyFill="1" applyBorder="1" applyAlignment="1" applyProtection="1">
      <alignment horizontal="center" vertical="center"/>
    </xf>
    <xf numFmtId="168" fontId="9" fillId="2" borderId="9" xfId="1" applyNumberFormat="1" applyFont="1" applyFill="1" applyBorder="1" applyAlignment="1" applyProtection="1">
      <alignment horizontal="right" vertical="center"/>
    </xf>
    <xf numFmtId="43" fontId="9" fillId="2" borderId="45" xfId="1" applyNumberFormat="1" applyFont="1" applyFill="1" applyBorder="1" applyAlignment="1" applyProtection="1">
      <alignment horizontal="left" vertical="center"/>
    </xf>
    <xf numFmtId="0" fontId="10" fillId="0" borderId="0" xfId="0" applyFont="1" applyFill="1" applyAlignment="1" applyProtection="1">
      <alignment horizontal="right" vertical="center"/>
    </xf>
    <xf numFmtId="0" fontId="14" fillId="0" borderId="41" xfId="0" applyFont="1" applyFill="1" applyBorder="1" applyAlignment="1" applyProtection="1">
      <alignment vertical="top" wrapText="1"/>
    </xf>
    <xf numFmtId="43" fontId="7" fillId="0" borderId="0" xfId="1" applyFont="1" applyFill="1" applyBorder="1" applyAlignment="1" applyProtection="1">
      <alignment horizontal="center" vertical="center"/>
    </xf>
    <xf numFmtId="43" fontId="14" fillId="0" borderId="41" xfId="1" applyFont="1" applyFill="1" applyBorder="1" applyAlignment="1" applyProtection="1">
      <alignment horizontal="left" vertical="top" wrapText="1"/>
    </xf>
    <xf numFmtId="43" fontId="10" fillId="0" borderId="0" xfId="1" applyFont="1" applyFill="1" applyBorder="1" applyAlignment="1" applyProtection="1">
      <alignment vertical="center"/>
    </xf>
    <xf numFmtId="43" fontId="4" fillId="0" borderId="0" xfId="1"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20" fillId="0" borderId="0" xfId="0" applyFont="1" applyFill="1" applyAlignment="1" applyProtection="1">
      <alignment horizontal="right" vertical="center"/>
    </xf>
    <xf numFmtId="165" fontId="4" fillId="0" borderId="43" xfId="1" applyNumberFormat="1" applyFont="1" applyFill="1" applyBorder="1" applyAlignment="1" applyProtection="1">
      <alignment horizontal="right" vertical="center"/>
    </xf>
    <xf numFmtId="0" fontId="4" fillId="0" borderId="43" xfId="0" applyFont="1" applyFill="1" applyBorder="1" applyAlignment="1" applyProtection="1">
      <alignment vertical="top" wrapText="1"/>
    </xf>
    <xf numFmtId="2" fontId="4" fillId="0" borderId="43" xfId="0" applyNumberFormat="1" applyFont="1" applyFill="1" applyBorder="1" applyAlignment="1" applyProtection="1">
      <alignment horizontal="right" vertical="top" wrapText="1"/>
      <protection locked="0"/>
    </xf>
    <xf numFmtId="0" fontId="4" fillId="0" borderId="43" xfId="0" applyNumberFormat="1" applyFont="1" applyFill="1" applyBorder="1" applyAlignment="1" applyProtection="1">
      <alignment horizontal="right" vertical="center"/>
    </xf>
    <xf numFmtId="0" fontId="4" fillId="0" borderId="36" xfId="0" applyFont="1" applyFill="1" applyBorder="1" applyAlignment="1" applyProtection="1">
      <alignment vertical="center"/>
    </xf>
    <xf numFmtId="2" fontId="4" fillId="0" borderId="36" xfId="0" applyNumberFormat="1" applyFont="1" applyFill="1" applyBorder="1" applyAlignment="1" applyProtection="1">
      <alignment horizontal="right" vertical="center"/>
      <protection locked="0"/>
    </xf>
    <xf numFmtId="0" fontId="4" fillId="0" borderId="36" xfId="0" applyNumberFormat="1" applyFont="1" applyFill="1" applyBorder="1" applyAlignment="1" applyProtection="1">
      <alignment horizontal="right" vertical="center"/>
    </xf>
    <xf numFmtId="165" fontId="4" fillId="0" borderId="36" xfId="1" applyNumberFormat="1" applyFont="1" applyFill="1" applyBorder="1" applyAlignment="1" applyProtection="1">
      <alignment horizontal="right" vertical="center"/>
    </xf>
    <xf numFmtId="0" fontId="10" fillId="0" borderId="27" xfId="0" applyFont="1" applyFill="1" applyBorder="1" applyAlignment="1" applyProtection="1">
      <alignment vertical="center"/>
    </xf>
    <xf numFmtId="43" fontId="9" fillId="0" borderId="0" xfId="1" applyFont="1" applyFill="1" applyBorder="1" applyProtection="1"/>
    <xf numFmtId="0" fontId="7" fillId="0" borderId="27"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26" xfId="0" applyFont="1" applyFill="1" applyBorder="1" applyAlignment="1" applyProtection="1">
      <alignment horizontal="left" vertical="center"/>
    </xf>
    <xf numFmtId="165" fontId="4" fillId="0" borderId="27" xfId="1" applyNumberFormat="1" applyFont="1" applyFill="1" applyBorder="1" applyAlignment="1" applyProtection="1">
      <alignment horizontal="center" vertical="center"/>
    </xf>
    <xf numFmtId="165" fontId="4" fillId="0" borderId="35" xfId="1" applyNumberFormat="1" applyFont="1" applyFill="1" applyBorder="1" applyAlignment="1" applyProtection="1">
      <alignment horizontal="center" vertical="center"/>
    </xf>
    <xf numFmtId="165" fontId="9" fillId="2" borderId="37" xfId="1" applyNumberFormat="1" applyFont="1" applyFill="1" applyBorder="1" applyAlignment="1" applyProtection="1">
      <alignment horizontal="center" vertical="center"/>
    </xf>
    <xf numFmtId="165" fontId="4" fillId="2" borderId="42" xfId="1" applyNumberFormat="1" applyFont="1" applyFill="1" applyBorder="1" applyAlignment="1" applyProtection="1">
      <alignment horizontal="center" vertical="center"/>
    </xf>
    <xf numFmtId="165" fontId="4" fillId="2" borderId="38" xfId="1" applyNumberFormat="1" applyFont="1" applyFill="1" applyBorder="1" applyAlignment="1" applyProtection="1">
      <alignment horizontal="right" vertical="center"/>
    </xf>
    <xf numFmtId="165" fontId="4" fillId="2" borderId="7" xfId="1" applyNumberFormat="1" applyFont="1" applyFill="1" applyBorder="1" applyAlignment="1" applyProtection="1">
      <alignment vertical="center"/>
    </xf>
    <xf numFmtId="165" fontId="4" fillId="2" borderId="30" xfId="1" applyNumberFormat="1" applyFont="1" applyFill="1" applyBorder="1" applyAlignment="1" applyProtection="1">
      <alignment vertical="center"/>
    </xf>
    <xf numFmtId="165" fontId="4" fillId="2" borderId="1" xfId="1" applyNumberFormat="1" applyFont="1" applyFill="1" applyBorder="1" applyAlignment="1" applyProtection="1">
      <alignment vertical="center"/>
    </xf>
    <xf numFmtId="165" fontId="4" fillId="2" borderId="26" xfId="1"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6" fillId="0" borderId="21" xfId="0" applyFont="1" applyFill="1" applyBorder="1" applyAlignment="1" applyProtection="1">
      <alignment horizontal="right"/>
    </xf>
    <xf numFmtId="3" fontId="27" fillId="0" borderId="20" xfId="7" applyNumberFormat="1" applyFont="1" applyFill="1" applyBorder="1" applyAlignment="1" applyProtection="1">
      <alignment horizontal="right" vertical="center" wrapText="1"/>
    </xf>
    <xf numFmtId="165" fontId="27" fillId="0" borderId="26" xfId="8" applyNumberFormat="1" applyFont="1" applyFill="1" applyBorder="1" applyAlignment="1" applyProtection="1">
      <alignment horizontal="right" vertical="center" wrapText="1"/>
    </xf>
    <xf numFmtId="165" fontId="26" fillId="0" borderId="26" xfId="1" applyNumberFormat="1" applyFont="1" applyFill="1" applyBorder="1" applyAlignment="1" applyProtection="1">
      <alignment horizontal="right" vertical="center"/>
    </xf>
    <xf numFmtId="0" fontId="8" fillId="0" borderId="6" xfId="0" applyFont="1" applyFill="1" applyBorder="1" applyProtection="1"/>
    <xf numFmtId="0" fontId="4" fillId="0" borderId="40" xfId="0" applyFont="1" applyFill="1" applyBorder="1" applyAlignment="1" applyProtection="1">
      <alignment vertical="center"/>
    </xf>
    <xf numFmtId="0" fontId="4" fillId="0" borderId="42" xfId="0" applyFont="1" applyFill="1" applyBorder="1" applyAlignment="1" applyProtection="1">
      <alignment vertical="center"/>
    </xf>
    <xf numFmtId="0" fontId="7" fillId="0" borderId="4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14" fillId="0" borderId="4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8" fillId="0" borderId="0" xfId="0" applyFont="1" applyFill="1" applyBorder="1" applyAlignment="1" applyProtection="1">
      <alignment vertical="center"/>
    </xf>
    <xf numFmtId="0" fontId="14" fillId="0" borderId="20"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165" fontId="4" fillId="0" borderId="21" xfId="1" applyNumberFormat="1" applyFont="1" applyBorder="1" applyAlignment="1" applyProtection="1">
      <alignment horizontal="center" vertical="center"/>
    </xf>
    <xf numFmtId="0" fontId="4" fillId="0" borderId="41" xfId="0" applyFont="1" applyBorder="1" applyAlignment="1" applyProtection="1">
      <alignment vertical="center"/>
    </xf>
    <xf numFmtId="0" fontId="16" fillId="0" borderId="0" xfId="0" applyFont="1" applyFill="1" applyBorder="1" applyAlignment="1" applyProtection="1">
      <alignment horizontal="left"/>
    </xf>
    <xf numFmtId="0" fontId="9" fillId="0" borderId="39" xfId="0" applyFont="1" applyFill="1" applyBorder="1" applyAlignment="1" applyProtection="1">
      <alignment vertical="center"/>
    </xf>
    <xf numFmtId="0" fontId="4" fillId="0" borderId="0" xfId="0" applyFont="1" applyFill="1" applyBorder="1" applyAlignment="1" applyProtection="1">
      <alignment vertical="center"/>
    </xf>
    <xf numFmtId="165" fontId="7" fillId="0" borderId="43" xfId="1" applyNumberFormat="1" applyFont="1" applyFill="1" applyBorder="1" applyAlignment="1" applyProtection="1">
      <alignment vertical="center"/>
    </xf>
    <xf numFmtId="164" fontId="7" fillId="0" borderId="41" xfId="0" applyNumberFormat="1" applyFont="1" applyFill="1" applyBorder="1" applyAlignment="1" applyProtection="1">
      <alignment horizontal="center" vertical="center"/>
    </xf>
    <xf numFmtId="0" fontId="5" fillId="0" borderId="20" xfId="0" applyFont="1" applyFill="1" applyBorder="1" applyAlignment="1" applyProtection="1">
      <alignment vertical="center"/>
    </xf>
    <xf numFmtId="165" fontId="22" fillId="0" borderId="0" xfId="0" applyNumberFormat="1" applyFont="1" applyFill="1" applyBorder="1" applyAlignment="1" applyProtection="1"/>
    <xf numFmtId="0" fontId="24" fillId="0" borderId="0" xfId="0" applyFont="1" applyFill="1" applyAlignment="1" applyProtection="1">
      <alignment horizontal="left"/>
    </xf>
    <xf numFmtId="165" fontId="18" fillId="0" borderId="0" xfId="1" applyNumberFormat="1" applyFont="1" applyFill="1" applyAlignment="1" applyProtection="1">
      <alignment horizontal="left"/>
    </xf>
    <xf numFmtId="0" fontId="4" fillId="0" borderId="38" xfId="0" applyFont="1" applyFill="1" applyBorder="1" applyAlignment="1" applyProtection="1">
      <alignment vertical="center"/>
    </xf>
    <xf numFmtId="0" fontId="4" fillId="0" borderId="0" xfId="0" applyFont="1" applyFill="1" applyAlignment="1" applyProtection="1">
      <alignment horizontal="left"/>
    </xf>
    <xf numFmtId="165" fontId="7" fillId="0" borderId="0" xfId="0" applyNumberFormat="1" applyFont="1" applyFill="1" applyBorder="1" applyAlignment="1" applyProtection="1"/>
    <xf numFmtId="165" fontId="4" fillId="0" borderId="7" xfId="0" applyNumberFormat="1" applyFont="1" applyFill="1" applyBorder="1" applyAlignment="1" applyProtection="1"/>
    <xf numFmtId="165" fontId="4" fillId="0" borderId="30" xfId="1" applyNumberFormat="1" applyFont="1" applyFill="1" applyBorder="1" applyAlignment="1" applyProtection="1">
      <alignment horizontal="left"/>
    </xf>
    <xf numFmtId="165" fontId="4" fillId="0" borderId="27" xfId="0" applyNumberFormat="1" applyFont="1" applyFill="1" applyBorder="1" applyAlignment="1" applyProtection="1"/>
    <xf numFmtId="165" fontId="4" fillId="0" borderId="35" xfId="1" applyNumberFormat="1" applyFont="1" applyFill="1" applyBorder="1" applyAlignment="1" applyProtection="1">
      <alignment horizontal="left"/>
    </xf>
    <xf numFmtId="165" fontId="4" fillId="0" borderId="1" xfId="0" applyNumberFormat="1" applyFont="1" applyFill="1" applyBorder="1" applyAlignment="1" applyProtection="1"/>
    <xf numFmtId="165" fontId="4" fillId="0" borderId="26" xfId="1" applyNumberFormat="1" applyFont="1" applyFill="1" applyBorder="1" applyAlignment="1" applyProtection="1">
      <alignment horizontal="left"/>
    </xf>
    <xf numFmtId="0" fontId="10" fillId="0" borderId="26" xfId="0" applyFont="1" applyFill="1" applyBorder="1" applyAlignment="1" applyProtection="1">
      <alignment vertical="center"/>
    </xf>
    <xf numFmtId="0" fontId="4" fillId="0" borderId="27" xfId="0" applyFont="1" applyFill="1" applyBorder="1" applyAlignment="1" applyProtection="1">
      <alignment horizontal="left" vertical="center"/>
    </xf>
    <xf numFmtId="165" fontId="9" fillId="2" borderId="44" xfId="1" applyNumberFormat="1" applyFont="1" applyFill="1" applyBorder="1" applyAlignment="1" applyProtection="1">
      <alignment horizontal="center" vertical="center"/>
    </xf>
    <xf numFmtId="165" fontId="9" fillId="2" borderId="38" xfId="1" applyNumberFormat="1" applyFont="1" applyFill="1" applyBorder="1" applyAlignment="1" applyProtection="1">
      <alignment horizontal="center" vertical="center"/>
    </xf>
    <xf numFmtId="165" fontId="9" fillId="0" borderId="0" xfId="0" applyNumberFormat="1" applyFont="1" applyFill="1" applyBorder="1" applyAlignment="1" applyProtection="1">
      <alignment horizontal="center" vertical="center"/>
    </xf>
    <xf numFmtId="165" fontId="4" fillId="2" borderId="44" xfId="1" applyNumberFormat="1" applyFont="1" applyFill="1" applyBorder="1" applyAlignment="1" applyProtection="1">
      <alignment vertical="center"/>
    </xf>
    <xf numFmtId="165" fontId="7" fillId="2" borderId="40" xfId="1" applyNumberFormat="1" applyFont="1" applyFill="1" applyBorder="1" applyAlignment="1" applyProtection="1">
      <alignment vertical="center"/>
    </xf>
    <xf numFmtId="165" fontId="7" fillId="2" borderId="41" xfId="1" applyNumberFormat="1" applyFont="1" applyFill="1" applyBorder="1" applyAlignment="1" applyProtection="1">
      <alignment vertical="center"/>
    </xf>
    <xf numFmtId="165" fontId="7" fillId="2" borderId="38" xfId="1" applyNumberFormat="1" applyFont="1" applyFill="1" applyBorder="1" applyAlignment="1" applyProtection="1">
      <alignment vertical="center"/>
    </xf>
    <xf numFmtId="0" fontId="9" fillId="0" borderId="0" xfId="0" applyFont="1" applyFill="1" applyBorder="1" applyAlignment="1" applyProtection="1">
      <alignment horizontal="right" vertical="center"/>
    </xf>
    <xf numFmtId="165" fontId="29" fillId="0" borderId="0" xfId="1" applyNumberFormat="1" applyFont="1" applyFill="1" applyBorder="1" applyAlignment="1" applyProtection="1">
      <alignment vertical="center"/>
    </xf>
    <xf numFmtId="0" fontId="4" fillId="0" borderId="0" xfId="0" applyFont="1" applyFill="1" applyProtection="1">
      <protection locked="0"/>
    </xf>
    <xf numFmtId="0" fontId="9" fillId="0" borderId="0" xfId="0" applyFont="1" applyFill="1" applyBorder="1" applyProtection="1">
      <protection locked="0"/>
    </xf>
    <xf numFmtId="0" fontId="9" fillId="0" borderId="2" xfId="0" applyFont="1" applyFill="1" applyBorder="1" applyProtection="1">
      <protection locked="0"/>
    </xf>
    <xf numFmtId="0" fontId="23" fillId="0" borderId="0" xfId="0" applyFont="1" applyFill="1" applyAlignment="1" applyProtection="1">
      <alignment horizontal="left"/>
    </xf>
    <xf numFmtId="0" fontId="6" fillId="0" borderId="0" xfId="0" applyFont="1" applyFill="1" applyAlignment="1" applyProtection="1">
      <alignment vertical="center"/>
      <protection locked="0"/>
    </xf>
    <xf numFmtId="0" fontId="10" fillId="0" borderId="0" xfId="0" applyFont="1" applyFill="1" applyAlignment="1" applyProtection="1">
      <alignment vertical="center"/>
      <protection locked="0"/>
    </xf>
    <xf numFmtId="165" fontId="9" fillId="0" borderId="0" xfId="0" applyNumberFormat="1" applyFont="1" applyFill="1" applyBorder="1" applyProtection="1">
      <protection locked="0"/>
    </xf>
    <xf numFmtId="0" fontId="0" fillId="0" borderId="0" xfId="0" applyFill="1" applyBorder="1" applyAlignment="1" applyProtection="1">
      <alignment horizontal="left" vertical="top" wrapText="1"/>
    </xf>
    <xf numFmtId="0" fontId="4" fillId="0" borderId="0" xfId="0" applyFont="1" applyFill="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Border="1" applyAlignment="1" applyProtection="1">
      <alignment horizontal="left" vertical="center"/>
    </xf>
    <xf numFmtId="0" fontId="0" fillId="0" borderId="0" xfId="0" applyNumberForma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Fill="1" applyBorder="1" applyAlignment="1" applyProtection="1">
      <alignment vertical="center"/>
      <protection locked="0"/>
    </xf>
    <xf numFmtId="0" fontId="10" fillId="0" borderId="0" xfId="0" applyFont="1" applyAlignment="1" applyProtection="1">
      <alignment vertical="center"/>
    </xf>
    <xf numFmtId="0" fontId="0" fillId="0" borderId="0" xfId="0" applyAlignment="1" applyProtection="1">
      <alignment vertical="center"/>
    </xf>
    <xf numFmtId="0" fontId="6" fillId="0" borderId="0" xfId="0" applyFont="1" applyAlignment="1" applyProtection="1">
      <alignment vertical="center"/>
    </xf>
    <xf numFmtId="0" fontId="7" fillId="0" borderId="0" xfId="0" applyFont="1" applyBorder="1" applyAlignment="1" applyProtection="1">
      <alignment vertical="center"/>
    </xf>
    <xf numFmtId="0" fontId="10" fillId="0" borderId="0" xfId="0" applyFont="1" applyBorder="1" applyAlignment="1" applyProtection="1">
      <alignment vertical="center"/>
    </xf>
    <xf numFmtId="0" fontId="4" fillId="0" borderId="0" xfId="0" applyFont="1" applyAlignment="1" applyProtection="1">
      <alignment vertical="center"/>
    </xf>
    <xf numFmtId="1" fontId="4" fillId="0" borderId="0" xfId="0" applyNumberFormat="1" applyFont="1" applyAlignment="1" applyProtection="1"/>
    <xf numFmtId="0" fontId="4" fillId="0" borderId="0" xfId="0" applyFont="1" applyAlignment="1" applyProtection="1"/>
    <xf numFmtId="1" fontId="4" fillId="0" borderId="0" xfId="0" applyNumberFormat="1" applyFont="1" applyFill="1" applyAlignment="1" applyProtection="1"/>
    <xf numFmtId="0" fontId="17" fillId="0" borderId="0" xfId="0" applyFont="1" applyAlignment="1" applyProtection="1"/>
    <xf numFmtId="0" fontId="10" fillId="0" borderId="0" xfId="0" applyFont="1" applyProtection="1"/>
    <xf numFmtId="0" fontId="6" fillId="0" borderId="0" xfId="0" applyFont="1" applyAlignment="1" applyProtection="1">
      <alignment horizontal="center" vertical="center"/>
    </xf>
    <xf numFmtId="0" fontId="7" fillId="0" borderId="0" xfId="0" applyFont="1" applyProtection="1"/>
    <xf numFmtId="0" fontId="0" fillId="0" borderId="0" xfId="0" applyBorder="1" applyAlignment="1" applyProtection="1">
      <alignment horizontal="center" vertical="center"/>
    </xf>
    <xf numFmtId="0" fontId="4" fillId="0" borderId="0" xfId="0" applyFont="1" applyProtection="1"/>
    <xf numFmtId="0" fontId="0" fillId="0" borderId="0" xfId="0" applyProtection="1"/>
    <xf numFmtId="165" fontId="7" fillId="0" borderId="0" xfId="1" applyNumberFormat="1" applyFont="1" applyBorder="1" applyAlignment="1" applyProtection="1">
      <alignment horizontal="center" vertical="center"/>
    </xf>
    <xf numFmtId="0" fontId="9" fillId="0" borderId="0" xfId="0" applyFont="1" applyProtection="1"/>
    <xf numFmtId="165" fontId="9" fillId="0" borderId="0" xfId="0" applyNumberFormat="1" applyFont="1" applyProtection="1"/>
    <xf numFmtId="0" fontId="16" fillId="0" borderId="0" xfId="0" applyFont="1" applyProtection="1"/>
    <xf numFmtId="165" fontId="16" fillId="0" borderId="0" xfId="0" applyNumberFormat="1" applyFont="1" applyProtection="1"/>
    <xf numFmtId="165" fontId="9" fillId="0" borderId="0" xfId="0" applyNumberFormat="1" applyFont="1" applyAlignment="1" applyProtection="1">
      <alignment horizontal="right"/>
    </xf>
    <xf numFmtId="168" fontId="9" fillId="0" borderId="0" xfId="1" applyNumberFormat="1" applyFont="1" applyAlignment="1" applyProtection="1">
      <alignment horizontal="center"/>
    </xf>
    <xf numFmtId="165" fontId="16" fillId="0" borderId="0" xfId="0" applyNumberFormat="1" applyFont="1" applyAlignment="1" applyProtection="1">
      <alignment horizontal="center"/>
    </xf>
    <xf numFmtId="0" fontId="9" fillId="0" borderId="0" xfId="0" applyFont="1" applyAlignment="1" applyProtection="1">
      <alignment horizontal="right"/>
    </xf>
    <xf numFmtId="0" fontId="7" fillId="0" borderId="0" xfId="0" applyFont="1" applyAlignment="1" applyProtection="1">
      <alignment vertical="center"/>
    </xf>
    <xf numFmtId="0" fontId="28" fillId="0" borderId="0" xfId="0" applyFont="1" applyAlignment="1" applyProtection="1">
      <alignment horizontal="center"/>
    </xf>
    <xf numFmtId="0" fontId="28" fillId="0" borderId="0" xfId="0" applyFont="1" applyAlignment="1" applyProtection="1">
      <alignment horizontal="center" vertical="center"/>
    </xf>
    <xf numFmtId="0" fontId="13" fillId="0" borderId="0" xfId="0" applyFont="1" applyAlignment="1" applyProtection="1">
      <alignment vertical="center"/>
    </xf>
    <xf numFmtId="0" fontId="9" fillId="0" borderId="0" xfId="0" applyFont="1" applyAlignment="1" applyProtection="1">
      <alignment vertical="center"/>
    </xf>
    <xf numFmtId="0" fontId="4" fillId="0" borderId="13" xfId="0" applyFont="1" applyBorder="1" applyAlignment="1" applyProtection="1">
      <alignment vertical="center"/>
    </xf>
    <xf numFmtId="0" fontId="4" fillId="0" borderId="15" xfId="0" applyFont="1" applyBorder="1" applyAlignment="1" applyProtection="1">
      <alignment vertical="center"/>
    </xf>
    <xf numFmtId="0" fontId="7" fillId="0" borderId="13" xfId="0" applyFont="1" applyBorder="1" applyAlignment="1" applyProtection="1">
      <alignment vertical="center"/>
    </xf>
    <xf numFmtId="0" fontId="7" fillId="0" borderId="15" xfId="0" applyFont="1" applyBorder="1" applyAlignment="1" applyProtection="1">
      <alignment vertical="center"/>
    </xf>
    <xf numFmtId="0" fontId="7" fillId="0" borderId="17" xfId="0" applyFont="1" applyBorder="1" applyAlignment="1" applyProtection="1">
      <alignment vertical="center"/>
    </xf>
    <xf numFmtId="0" fontId="4" fillId="0" borderId="18" xfId="0" applyFont="1" applyBorder="1" applyAlignment="1" applyProtection="1">
      <alignment horizontal="left" vertical="center"/>
    </xf>
    <xf numFmtId="0" fontId="4" fillId="0" borderId="24" xfId="0" applyFont="1" applyBorder="1" applyAlignment="1" applyProtection="1">
      <alignment horizontal="left" vertical="center"/>
    </xf>
    <xf numFmtId="3" fontId="7" fillId="0" borderId="52" xfId="0" applyNumberFormat="1" applyFont="1" applyBorder="1" applyAlignment="1" applyProtection="1">
      <alignment horizontal="center" vertical="center"/>
    </xf>
    <xf numFmtId="165" fontId="4" fillId="0" borderId="16" xfId="1" applyNumberFormat="1" applyFont="1" applyFill="1" applyBorder="1" applyAlignment="1" applyProtection="1">
      <alignment vertical="center"/>
    </xf>
    <xf numFmtId="165" fontId="4" fillId="0" borderId="17" xfId="1" applyNumberFormat="1" applyFont="1" applyFill="1" applyBorder="1" applyAlignment="1" applyProtection="1">
      <alignment vertical="center"/>
    </xf>
    <xf numFmtId="165" fontId="4" fillId="0" borderId="35" xfId="1" applyNumberFormat="1" applyFont="1" applyFill="1" applyBorder="1" applyAlignment="1" applyProtection="1">
      <alignment vertical="center"/>
    </xf>
    <xf numFmtId="165" fontId="7" fillId="0" borderId="69" xfId="1" applyNumberFormat="1" applyFont="1" applyFill="1" applyBorder="1" applyAlignment="1" applyProtection="1">
      <alignment vertical="center"/>
    </xf>
    <xf numFmtId="0" fontId="0" fillId="0" borderId="16" xfId="0" applyFont="1" applyFill="1" applyBorder="1" applyAlignment="1" applyProtection="1">
      <alignment vertical="center"/>
    </xf>
    <xf numFmtId="165" fontId="4" fillId="0" borderId="35" xfId="0" applyNumberFormat="1" applyFont="1" applyFill="1" applyBorder="1" applyAlignment="1" applyProtection="1">
      <alignment vertical="center"/>
    </xf>
    <xf numFmtId="165" fontId="7" fillId="0" borderId="12" xfId="1" applyNumberFormat="1" applyFont="1" applyFill="1" applyBorder="1" applyAlignment="1" applyProtection="1">
      <alignment vertical="center"/>
    </xf>
    <xf numFmtId="0" fontId="0" fillId="0" borderId="0" xfId="0" applyFont="1" applyAlignment="1" applyProtection="1">
      <alignment horizontal="left" vertical="top" wrapText="1"/>
    </xf>
    <xf numFmtId="0" fontId="9" fillId="0" borderId="0" xfId="0" applyFont="1" applyAlignment="1" applyProtection="1">
      <alignment horizontal="left" vertical="top" wrapText="1"/>
    </xf>
    <xf numFmtId="0" fontId="9" fillId="0" borderId="35" xfId="0" applyFont="1" applyFill="1" applyBorder="1" applyAlignment="1" applyProtection="1">
      <alignment horizontal="center" vertical="center"/>
    </xf>
    <xf numFmtId="43" fontId="5" fillId="0" borderId="21" xfId="1" applyFont="1" applyFill="1" applyBorder="1" applyAlignment="1" applyProtection="1">
      <alignment horizontal="center" vertical="center"/>
      <protection locked="0"/>
    </xf>
    <xf numFmtId="0" fontId="4" fillId="0" borderId="0" xfId="0" applyFont="1" applyFill="1" applyBorder="1" applyProtection="1">
      <protection locked="0"/>
    </xf>
    <xf numFmtId="0" fontId="10" fillId="0" borderId="0" xfId="0"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9" fillId="0" borderId="27" xfId="0" applyFont="1" applyFill="1" applyBorder="1" applyProtection="1">
      <protection locked="0"/>
    </xf>
    <xf numFmtId="43" fontId="9" fillId="0" borderId="0" xfId="1" applyFont="1" applyFill="1" applyBorder="1" applyProtection="1">
      <protection locked="0"/>
    </xf>
    <xf numFmtId="165" fontId="9" fillId="0" borderId="35" xfId="0" applyNumberFormat="1" applyFont="1" applyFill="1" applyBorder="1" applyProtection="1">
      <protection locked="0"/>
    </xf>
    <xf numFmtId="165" fontId="9" fillId="0" borderId="0" xfId="0" applyNumberFormat="1" applyFont="1" applyFill="1" applyBorder="1" applyAlignment="1" applyProtection="1">
      <alignment horizontal="right"/>
      <protection locked="0"/>
    </xf>
    <xf numFmtId="0" fontId="9" fillId="0" borderId="35" xfId="0" applyFont="1" applyFill="1" applyBorder="1" applyProtection="1">
      <protection locked="0"/>
    </xf>
    <xf numFmtId="2" fontId="7" fillId="0" borderId="0" xfId="0" applyNumberFormat="1" applyFont="1" applyFill="1" applyBorder="1" applyProtection="1"/>
    <xf numFmtId="0" fontId="4" fillId="0" borderId="0" xfId="0" applyFont="1" applyFill="1" applyBorder="1" applyProtection="1"/>
    <xf numFmtId="165" fontId="4" fillId="0" borderId="35" xfId="1" applyNumberFormat="1" applyFont="1" applyFill="1" applyBorder="1" applyProtection="1"/>
    <xf numFmtId="0" fontId="4" fillId="0" borderId="20" xfId="0" applyFont="1" applyFill="1" applyBorder="1" applyAlignment="1" applyProtection="1">
      <alignment vertical="center"/>
    </xf>
    <xf numFmtId="0" fontId="4" fillId="0" borderId="37"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3" fontId="4" fillId="0" borderId="36" xfId="0" applyNumberFormat="1" applyFont="1" applyFill="1" applyBorder="1" applyAlignment="1" applyProtection="1">
      <alignment horizontal="right" vertical="center"/>
    </xf>
    <xf numFmtId="3" fontId="4" fillId="0" borderId="43" xfId="0" applyNumberFormat="1" applyFont="1" applyFill="1" applyBorder="1" applyAlignment="1" applyProtection="1">
      <alignment horizontal="right" vertical="center"/>
    </xf>
    <xf numFmtId="0" fontId="10" fillId="0" borderId="35" xfId="0" applyFont="1" applyFill="1" applyBorder="1" applyAlignment="1" applyProtection="1">
      <alignment vertical="center"/>
    </xf>
    <xf numFmtId="0" fontId="7" fillId="0" borderId="35" xfId="0" applyFont="1" applyFill="1" applyBorder="1" applyAlignment="1" applyProtection="1">
      <alignment horizontal="left" vertical="center"/>
    </xf>
    <xf numFmtId="0" fontId="4" fillId="0" borderId="37" xfId="0" applyFont="1" applyFill="1" applyBorder="1" applyAlignment="1" applyProtection="1">
      <alignment horizontal="left" vertical="center" wrapText="1"/>
    </xf>
    <xf numFmtId="3" fontId="4" fillId="0" borderId="37" xfId="0" applyNumberFormat="1" applyFont="1" applyFill="1" applyBorder="1" applyAlignment="1" applyProtection="1">
      <alignment horizontal="right" vertical="center" wrapText="1"/>
      <protection locked="0"/>
    </xf>
    <xf numFmtId="166" fontId="4" fillId="0" borderId="37" xfId="0" applyNumberFormat="1" applyFont="1" applyFill="1" applyBorder="1" applyAlignment="1" applyProtection="1">
      <alignment horizontal="right" vertical="center" wrapText="1"/>
      <protection locked="0"/>
    </xf>
    <xf numFmtId="165" fontId="4" fillId="0" borderId="37" xfId="1" applyNumberFormat="1" applyFont="1" applyFill="1" applyBorder="1" applyAlignment="1" applyProtection="1">
      <alignment horizontal="right" vertical="center"/>
    </xf>
    <xf numFmtId="0" fontId="4" fillId="0" borderId="43" xfId="0" applyFont="1" applyFill="1" applyBorder="1" applyAlignment="1" applyProtection="1">
      <alignment horizontal="left" vertical="center" wrapText="1"/>
    </xf>
    <xf numFmtId="3" fontId="4" fillId="0" borderId="43" xfId="0" applyNumberFormat="1" applyFont="1" applyFill="1" applyBorder="1" applyAlignment="1" applyProtection="1">
      <alignment horizontal="right" vertical="center" wrapText="1"/>
      <protection locked="0"/>
    </xf>
    <xf numFmtId="166" fontId="4" fillId="0" borderId="43" xfId="0" applyNumberFormat="1" applyFont="1" applyFill="1" applyBorder="1" applyAlignment="1" applyProtection="1">
      <alignment horizontal="right" vertical="center" wrapText="1"/>
      <protection locked="0"/>
    </xf>
    <xf numFmtId="0" fontId="4" fillId="0" borderId="27" xfId="0" applyFont="1" applyFill="1" applyBorder="1" applyAlignment="1" applyProtection="1">
      <alignment horizontal="left" vertical="center" wrapText="1"/>
    </xf>
    <xf numFmtId="3" fontId="4" fillId="0" borderId="0" xfId="0" applyNumberFormat="1" applyFont="1" applyFill="1" applyBorder="1" applyAlignment="1" applyProtection="1">
      <alignment horizontal="right" vertical="center" wrapText="1"/>
    </xf>
    <xf numFmtId="3" fontId="4" fillId="0" borderId="0" xfId="0" applyNumberFormat="1" applyFont="1" applyFill="1" applyBorder="1" applyAlignment="1" applyProtection="1">
      <alignment horizontal="right" vertical="center"/>
    </xf>
    <xf numFmtId="166" fontId="4" fillId="0" borderId="30" xfId="0" applyNumberFormat="1" applyFont="1" applyFill="1" applyBorder="1" applyAlignment="1" applyProtection="1">
      <alignment horizontal="right" vertical="center" wrapText="1"/>
    </xf>
    <xf numFmtId="165" fontId="4" fillId="0" borderId="40" xfId="1" applyNumberFormat="1" applyFont="1" applyFill="1" applyBorder="1" applyAlignment="1" applyProtection="1">
      <alignment horizontal="right" vertical="center"/>
    </xf>
    <xf numFmtId="165" fontId="4" fillId="0" borderId="40" xfId="1" applyNumberFormat="1" applyFont="1" applyFill="1" applyBorder="1" applyAlignment="1" applyProtection="1">
      <alignment horizontal="right" vertical="center"/>
      <protection locked="0"/>
    </xf>
    <xf numFmtId="165" fontId="4" fillId="0" borderId="35" xfId="1" applyNumberFormat="1" applyFont="1" applyFill="1" applyBorder="1" applyAlignment="1" applyProtection="1">
      <alignment horizontal="right" vertical="center"/>
    </xf>
    <xf numFmtId="0" fontId="30" fillId="0" borderId="5" xfId="0" applyFont="1" applyFill="1" applyBorder="1" applyAlignment="1" applyProtection="1">
      <alignment horizontal="left" vertical="center" wrapText="1"/>
    </xf>
    <xf numFmtId="3" fontId="30" fillId="0" borderId="20" xfId="0" applyNumberFormat="1" applyFont="1" applyFill="1" applyBorder="1" applyAlignment="1" applyProtection="1">
      <alignment horizontal="right" vertical="center" wrapText="1"/>
    </xf>
    <xf numFmtId="3" fontId="30" fillId="0" borderId="20" xfId="0" applyNumberFormat="1" applyFont="1" applyFill="1" applyBorder="1" applyAlignment="1" applyProtection="1">
      <alignment horizontal="right" vertical="center"/>
    </xf>
    <xf numFmtId="165" fontId="30" fillId="0" borderId="41" xfId="1" applyNumberFormat="1" applyFont="1" applyFill="1" applyBorder="1" applyAlignment="1" applyProtection="1">
      <alignment horizontal="right" vertical="center"/>
    </xf>
    <xf numFmtId="165" fontId="30" fillId="0" borderId="41" xfId="1" applyNumberFormat="1" applyFont="1" applyFill="1" applyBorder="1" applyAlignment="1" applyProtection="1">
      <alignment horizontal="right" vertical="center"/>
      <protection locked="0"/>
    </xf>
    <xf numFmtId="165" fontId="30" fillId="0" borderId="21" xfId="1" applyNumberFormat="1" applyFont="1" applyFill="1" applyBorder="1" applyAlignment="1" applyProtection="1">
      <alignment horizontal="right" vertical="center"/>
    </xf>
    <xf numFmtId="165" fontId="10" fillId="0" borderId="39" xfId="1" applyNumberFormat="1" applyFont="1" applyFill="1" applyBorder="1" applyAlignment="1" applyProtection="1">
      <alignment vertical="center"/>
    </xf>
    <xf numFmtId="165" fontId="10" fillId="0" borderId="39" xfId="1" applyNumberFormat="1" applyFont="1" applyFill="1" applyBorder="1" applyAlignment="1" applyProtection="1">
      <alignment vertical="center"/>
      <protection locked="0"/>
    </xf>
    <xf numFmtId="165" fontId="10" fillId="0" borderId="35" xfId="1" applyNumberFormat="1" applyFont="1" applyFill="1" applyBorder="1" applyAlignment="1" applyProtection="1">
      <alignment vertical="center"/>
    </xf>
    <xf numFmtId="0" fontId="10" fillId="0" borderId="21" xfId="0" applyFont="1" applyFill="1" applyBorder="1" applyAlignment="1" applyProtection="1">
      <alignment vertical="center"/>
    </xf>
    <xf numFmtId="165" fontId="4" fillId="0" borderId="41" xfId="1" applyNumberFormat="1" applyFont="1" applyFill="1" applyBorder="1" applyAlignment="1" applyProtection="1">
      <alignment vertical="top" wrapText="1"/>
    </xf>
    <xf numFmtId="165" fontId="4" fillId="0" borderId="39" xfId="1" applyNumberFormat="1" applyFont="1" applyFill="1" applyBorder="1" applyAlignment="1" applyProtection="1">
      <alignment horizontal="left" vertical="top" wrapText="1"/>
      <protection locked="0"/>
    </xf>
    <xf numFmtId="165" fontId="4" fillId="0" borderId="26" xfId="1" applyNumberFormat="1" applyFont="1" applyFill="1" applyBorder="1" applyAlignment="1" applyProtection="1">
      <alignment horizontal="left" vertical="top" wrapText="1"/>
    </xf>
    <xf numFmtId="165" fontId="4" fillId="0" borderId="41" xfId="1" applyNumberFormat="1" applyFont="1" applyFill="1" applyBorder="1" applyAlignment="1" applyProtection="1">
      <alignment vertical="top" wrapText="1"/>
      <protection locked="0"/>
    </xf>
    <xf numFmtId="165" fontId="4" fillId="0" borderId="26" xfId="1" applyNumberFormat="1" applyFont="1" applyFill="1" applyBorder="1" applyAlignment="1" applyProtection="1">
      <alignment horizontal="left" vertical="top" wrapText="1"/>
      <protection locked="0"/>
    </xf>
    <xf numFmtId="165" fontId="4" fillId="0" borderId="41" xfId="1" applyNumberFormat="1" applyFont="1" applyFill="1" applyBorder="1" applyAlignment="1" applyProtection="1">
      <alignment horizontal="left" vertical="top" wrapText="1"/>
      <protection locked="0"/>
    </xf>
    <xf numFmtId="0" fontId="6" fillId="0" borderId="21" xfId="0" applyFont="1" applyFill="1" applyBorder="1" applyAlignment="1" applyProtection="1">
      <alignment vertical="center"/>
    </xf>
    <xf numFmtId="165" fontId="7" fillId="0" borderId="41" xfId="1" applyNumberFormat="1" applyFont="1" applyFill="1" applyBorder="1" applyAlignment="1" applyProtection="1">
      <alignment vertical="top" wrapText="1"/>
    </xf>
    <xf numFmtId="165" fontId="7" fillId="0" borderId="21" xfId="1" applyNumberFormat="1" applyFont="1" applyFill="1" applyBorder="1" applyAlignment="1" applyProtection="1">
      <alignment vertical="top" wrapText="1"/>
      <protection locked="0"/>
    </xf>
    <xf numFmtId="165" fontId="10" fillId="0" borderId="43" xfId="1" applyNumberFormat="1" applyFont="1" applyFill="1" applyBorder="1" applyAlignment="1" applyProtection="1">
      <alignment vertical="center"/>
    </xf>
    <xf numFmtId="165" fontId="4" fillId="0" borderId="0" xfId="1" applyNumberFormat="1" applyFont="1" applyFill="1" applyBorder="1" applyAlignment="1" applyProtection="1">
      <alignment horizontal="center" vertical="top" wrapText="1"/>
    </xf>
    <xf numFmtId="165" fontId="4" fillId="0" borderId="35" xfId="1" applyNumberFormat="1" applyFont="1" applyFill="1" applyBorder="1" applyAlignment="1" applyProtection="1">
      <alignment horizontal="center" vertical="top" wrapText="1"/>
    </xf>
    <xf numFmtId="0" fontId="6" fillId="0" borderId="12" xfId="0" applyFont="1" applyFill="1" applyBorder="1" applyAlignment="1" applyProtection="1">
      <alignment vertical="center"/>
    </xf>
    <xf numFmtId="165" fontId="7" fillId="0" borderId="36" xfId="1" applyNumberFormat="1" applyFont="1" applyFill="1" applyBorder="1" applyAlignment="1" applyProtection="1">
      <alignment vertical="top" wrapText="1"/>
    </xf>
    <xf numFmtId="165" fontId="9" fillId="0" borderId="0" xfId="0" applyNumberFormat="1" applyFont="1" applyFill="1" applyBorder="1" applyAlignment="1" applyProtection="1">
      <alignment horizontal="center"/>
    </xf>
    <xf numFmtId="0" fontId="6" fillId="0" borderId="19" xfId="0" applyFont="1" applyFill="1" applyBorder="1" applyAlignment="1" applyProtection="1">
      <alignment vertical="center"/>
    </xf>
    <xf numFmtId="165" fontId="7" fillId="0" borderId="43" xfId="1" applyNumberFormat="1" applyFont="1" applyFill="1" applyBorder="1" applyAlignment="1" applyProtection="1">
      <alignment vertical="top" wrapText="1"/>
    </xf>
    <xf numFmtId="37" fontId="9" fillId="0" borderId="0" xfId="0" applyNumberFormat="1" applyFont="1" applyFill="1" applyBorder="1" applyProtection="1"/>
    <xf numFmtId="0" fontId="4" fillId="0" borderId="27"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35" xfId="0" applyFont="1" applyFill="1" applyBorder="1" applyAlignment="1" applyProtection="1">
      <alignment vertical="top" wrapText="1"/>
      <protection locked="0"/>
    </xf>
    <xf numFmtId="0" fontId="4" fillId="0" borderId="27" xfId="0" applyFont="1" applyFill="1" applyBorder="1" applyProtection="1">
      <protection locked="0"/>
    </xf>
    <xf numFmtId="43" fontId="4" fillId="0" borderId="0" xfId="1" applyFont="1" applyFill="1" applyBorder="1" applyProtection="1">
      <protection locked="0"/>
    </xf>
    <xf numFmtId="0" fontId="4" fillId="0" borderId="35" xfId="0" applyFont="1" applyFill="1" applyBorder="1" applyProtection="1">
      <protection locked="0"/>
    </xf>
    <xf numFmtId="0" fontId="4" fillId="0" borderId="1" xfId="0" applyFont="1" applyFill="1" applyBorder="1" applyProtection="1">
      <protection locked="0"/>
    </xf>
    <xf numFmtId="0" fontId="4" fillId="0" borderId="2" xfId="0" applyFont="1" applyFill="1" applyBorder="1" applyProtection="1">
      <protection locked="0"/>
    </xf>
    <xf numFmtId="165" fontId="9" fillId="0" borderId="2" xfId="0" applyNumberFormat="1" applyFont="1" applyFill="1" applyBorder="1" applyProtection="1">
      <protection locked="0"/>
    </xf>
    <xf numFmtId="43" fontId="9" fillId="0" borderId="2" xfId="1" applyFont="1" applyFill="1" applyBorder="1" applyProtection="1">
      <protection locked="0"/>
    </xf>
    <xf numFmtId="0" fontId="9" fillId="0" borderId="26" xfId="0" applyFont="1" applyFill="1" applyBorder="1" applyProtection="1">
      <protection locked="0"/>
    </xf>
    <xf numFmtId="43" fontId="4" fillId="0" borderId="0" xfId="1" applyFont="1" applyFill="1" applyProtection="1"/>
    <xf numFmtId="43" fontId="4" fillId="0" borderId="0" xfId="1" applyFont="1" applyFill="1" applyProtection="1">
      <protection locked="0"/>
    </xf>
    <xf numFmtId="0" fontId="4" fillId="0" borderId="6" xfId="0" applyFont="1" applyFill="1" applyBorder="1" applyAlignment="1" applyProtection="1">
      <alignment horizontal="center"/>
    </xf>
    <xf numFmtId="0" fontId="4" fillId="0" borderId="30" xfId="0" applyFont="1" applyFill="1" applyBorder="1" applyAlignment="1" applyProtection="1">
      <alignment horizontal="center"/>
    </xf>
    <xf numFmtId="0" fontId="4" fillId="0" borderId="27" xfId="0" applyFont="1" applyFill="1" applyBorder="1" applyProtection="1"/>
    <xf numFmtId="0" fontId="4" fillId="0" borderId="0" xfId="0" applyFont="1" applyFill="1" applyBorder="1" applyAlignment="1" applyProtection="1">
      <alignment horizontal="center"/>
    </xf>
    <xf numFmtId="0" fontId="4" fillId="0" borderId="35" xfId="0" applyFont="1" applyFill="1" applyBorder="1" applyAlignment="1" applyProtection="1">
      <alignment horizontal="center"/>
    </xf>
    <xf numFmtId="0" fontId="4" fillId="0" borderId="35" xfId="0" applyFont="1" applyFill="1" applyBorder="1" applyProtection="1"/>
    <xf numFmtId="0" fontId="4" fillId="0" borderId="43" xfId="0" applyFont="1" applyFill="1" applyBorder="1" applyAlignment="1" applyProtection="1">
      <alignment horizontal="left" vertical="center"/>
    </xf>
    <xf numFmtId="0" fontId="7" fillId="0" borderId="1" xfId="0" applyFont="1" applyFill="1" applyBorder="1" applyProtection="1"/>
    <xf numFmtId="0" fontId="7" fillId="0" borderId="2" xfId="0" applyFont="1" applyFill="1" applyBorder="1" applyProtection="1"/>
    <xf numFmtId="165" fontId="7" fillId="0" borderId="26" xfId="1" applyNumberFormat="1" applyFont="1" applyFill="1" applyBorder="1" applyProtection="1"/>
    <xf numFmtId="43" fontId="4" fillId="0" borderId="0" xfId="1" applyFont="1" applyFill="1" applyBorder="1" applyAlignment="1" applyProtection="1">
      <alignment vertical="center"/>
    </xf>
    <xf numFmtId="0" fontId="4" fillId="0" borderId="35" xfId="0" applyFont="1" applyFill="1" applyBorder="1" applyAlignment="1" applyProtection="1">
      <alignment vertical="center"/>
    </xf>
    <xf numFmtId="0" fontId="7" fillId="0" borderId="62" xfId="0" applyFont="1" applyFill="1" applyBorder="1" applyProtection="1"/>
    <xf numFmtId="0" fontId="7" fillId="0" borderId="63" xfId="0" applyFont="1" applyFill="1" applyBorder="1" applyProtection="1"/>
    <xf numFmtId="165" fontId="7" fillId="0" borderId="64" xfId="0" applyNumberFormat="1" applyFont="1" applyFill="1" applyBorder="1" applyProtection="1"/>
    <xf numFmtId="0" fontId="9" fillId="0" borderId="21" xfId="0" applyFont="1" applyFill="1" applyBorder="1" applyAlignment="1" applyProtection="1">
      <alignment horizontal="right" vertical="center"/>
    </xf>
    <xf numFmtId="0" fontId="4" fillId="0" borderId="0" xfId="0" applyFont="1" applyBorder="1" applyProtection="1"/>
    <xf numFmtId="3" fontId="4" fillId="0" borderId="7" xfId="0" applyNumberFormat="1" applyFont="1" applyFill="1" applyBorder="1" applyAlignment="1" applyProtection="1">
      <alignment horizontal="right" vertical="center"/>
    </xf>
    <xf numFmtId="3" fontId="4" fillId="0" borderId="30" xfId="0" applyNumberFormat="1" applyFont="1" applyFill="1" applyBorder="1" applyAlignment="1" applyProtection="1">
      <alignment horizontal="right" vertical="center"/>
    </xf>
    <xf numFmtId="0" fontId="4" fillId="0" borderId="37" xfId="0" applyFont="1" applyFill="1" applyBorder="1" applyAlignment="1" applyProtection="1">
      <alignment vertical="top" wrapText="1"/>
    </xf>
    <xf numFmtId="2" fontId="4" fillId="0" borderId="37" xfId="0" applyNumberFormat="1" applyFont="1" applyFill="1" applyBorder="1" applyAlignment="1" applyProtection="1">
      <alignment horizontal="right" vertical="top" wrapText="1"/>
      <protection locked="0"/>
    </xf>
    <xf numFmtId="0" fontId="4" fillId="0" borderId="37" xfId="0" applyNumberFormat="1" applyFont="1" applyFill="1" applyBorder="1" applyAlignment="1" applyProtection="1">
      <alignment horizontal="right" vertical="center"/>
    </xf>
    <xf numFmtId="165" fontId="19" fillId="0" borderId="0" xfId="0" applyNumberFormat="1" applyFont="1" applyFill="1" applyBorder="1" applyAlignment="1" applyProtection="1"/>
    <xf numFmtId="165" fontId="30" fillId="0" borderId="35" xfId="1" applyNumberFormat="1"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37" xfId="0" applyFont="1" applyFill="1" applyBorder="1" applyAlignment="1" applyProtection="1">
      <alignment horizontal="center" vertical="center"/>
    </xf>
    <xf numFmtId="43" fontId="5" fillId="0" borderId="21" xfId="1" applyFont="1" applyFill="1" applyBorder="1" applyAlignment="1" applyProtection="1">
      <alignment horizontal="center" vertical="center"/>
    </xf>
    <xf numFmtId="165" fontId="7" fillId="0" borderId="21" xfId="1" applyNumberFormat="1" applyFont="1" applyFill="1" applyBorder="1" applyAlignment="1" applyProtection="1">
      <alignment vertical="top" wrapText="1"/>
    </xf>
    <xf numFmtId="0" fontId="4" fillId="0" borderId="0" xfId="0" applyFont="1" applyFill="1" applyBorder="1" applyAlignment="1" applyProtection="1">
      <alignment vertical="top" wrapText="1"/>
    </xf>
    <xf numFmtId="43" fontId="4" fillId="0" borderId="0" xfId="1" applyFont="1" applyFill="1" applyBorder="1" applyProtection="1"/>
    <xf numFmtId="165" fontId="9" fillId="0" borderId="0" xfId="0" applyNumberFormat="1" applyFont="1" applyFill="1" applyBorder="1" applyAlignment="1" applyProtection="1">
      <alignment horizontal="right"/>
    </xf>
    <xf numFmtId="3" fontId="27" fillId="0" borderId="50" xfId="7" applyNumberFormat="1" applyFont="1" applyFill="1" applyBorder="1" applyAlignment="1" applyProtection="1">
      <alignment horizontal="left" vertical="center" wrapText="1"/>
    </xf>
    <xf numFmtId="165" fontId="26" fillId="0" borderId="73" xfId="1" applyNumberFormat="1" applyFont="1" applyFill="1" applyBorder="1" applyAlignment="1" applyProtection="1">
      <alignment horizontal="right" vertical="center"/>
    </xf>
    <xf numFmtId="165" fontId="26" fillId="0" borderId="50" xfId="1" applyNumberFormat="1" applyFont="1" applyFill="1" applyBorder="1" applyAlignment="1" applyProtection="1">
      <alignment horizontal="right" vertical="center"/>
    </xf>
    <xf numFmtId="0" fontId="26" fillId="0" borderId="70" xfId="0" applyFont="1" applyFill="1" applyBorder="1" applyAlignment="1" applyProtection="1">
      <alignment horizontal="right"/>
    </xf>
    <xf numFmtId="0" fontId="26" fillId="0" borderId="48" xfId="0" applyFont="1" applyFill="1" applyBorder="1" applyAlignment="1" applyProtection="1">
      <alignment horizontal="right"/>
    </xf>
    <xf numFmtId="3" fontId="27" fillId="0" borderId="49" xfId="7" applyNumberFormat="1" applyFont="1" applyFill="1" applyBorder="1" applyAlignment="1" applyProtection="1">
      <alignment horizontal="right" vertical="center" wrapText="1"/>
    </xf>
    <xf numFmtId="3" fontId="27" fillId="0" borderId="70" xfId="7" applyNumberFormat="1" applyFont="1" applyFill="1" applyBorder="1" applyAlignment="1" applyProtection="1">
      <alignment horizontal="left" vertical="center" wrapText="1"/>
    </xf>
    <xf numFmtId="3" fontId="27" fillId="0" borderId="71" xfId="7" applyNumberFormat="1" applyFont="1" applyFill="1" applyBorder="1" applyAlignment="1" applyProtection="1">
      <alignment horizontal="left" vertical="center" wrapText="1"/>
    </xf>
    <xf numFmtId="165" fontId="27" fillId="0" borderId="51" xfId="8" applyNumberFormat="1" applyFont="1" applyFill="1" applyBorder="1" applyAlignment="1" applyProtection="1">
      <alignment horizontal="right" vertical="center" wrapText="1"/>
    </xf>
    <xf numFmtId="165" fontId="27" fillId="0" borderId="12" xfId="8" applyNumberFormat="1" applyFont="1" applyFill="1" applyBorder="1" applyAlignment="1" applyProtection="1">
      <alignment horizontal="right" vertical="center" wrapText="1"/>
    </xf>
    <xf numFmtId="165" fontId="26" fillId="0" borderId="71" xfId="1" applyNumberFormat="1" applyFont="1" applyFill="1" applyBorder="1" applyAlignment="1" applyProtection="1">
      <alignment horizontal="right" vertical="center"/>
    </xf>
    <xf numFmtId="165" fontId="26" fillId="0" borderId="51" xfId="1" applyNumberFormat="1" applyFont="1" applyFill="1" applyBorder="1" applyAlignment="1" applyProtection="1">
      <alignment horizontal="right" vertical="center"/>
    </xf>
    <xf numFmtId="165" fontId="26" fillId="0" borderId="12" xfId="1" applyNumberFormat="1" applyFont="1" applyFill="1" applyBorder="1" applyAlignment="1" applyProtection="1">
      <alignment horizontal="right" vertical="center"/>
    </xf>
    <xf numFmtId="3" fontId="27" fillId="0" borderId="8" xfId="7" applyNumberFormat="1" applyFont="1" applyFill="1" applyBorder="1" applyAlignment="1" applyProtection="1">
      <alignment horizontal="left" vertical="center" wrapText="1"/>
    </xf>
    <xf numFmtId="165" fontId="26" fillId="0" borderId="9" xfId="1" applyNumberFormat="1" applyFont="1" applyFill="1" applyBorder="1" applyAlignment="1" applyProtection="1">
      <alignment horizontal="right" vertical="center"/>
    </xf>
    <xf numFmtId="165" fontId="27" fillId="0" borderId="17" xfId="8" applyNumberFormat="1" applyFont="1" applyFill="1" applyBorder="1" applyAlignment="1" applyProtection="1">
      <alignment horizontal="right" vertical="center" wrapText="1"/>
    </xf>
    <xf numFmtId="165" fontId="26" fillId="0" borderId="8" xfId="1" applyNumberFormat="1" applyFont="1" applyFill="1" applyBorder="1" applyAlignment="1" applyProtection="1">
      <alignment horizontal="right" vertical="center"/>
    </xf>
    <xf numFmtId="165" fontId="26" fillId="0" borderId="17" xfId="1" applyNumberFormat="1" applyFont="1" applyFill="1" applyBorder="1" applyAlignment="1" applyProtection="1">
      <alignment horizontal="right" vertical="center"/>
    </xf>
    <xf numFmtId="165" fontId="27" fillId="0" borderId="9" xfId="8" applyNumberFormat="1" applyFont="1" applyFill="1" applyBorder="1" applyAlignment="1" applyProtection="1">
      <alignment horizontal="right" vertical="center" wrapText="1"/>
    </xf>
    <xf numFmtId="43" fontId="26" fillId="0" borderId="9" xfId="1" applyFont="1" applyFill="1" applyBorder="1" applyAlignment="1" applyProtection="1">
      <alignment horizontal="right" vertical="center"/>
    </xf>
    <xf numFmtId="0" fontId="9" fillId="0" borderId="17" xfId="0" applyFont="1" applyFill="1" applyBorder="1" applyAlignment="1" applyProtection="1">
      <alignment horizontal="center" vertical="center"/>
    </xf>
    <xf numFmtId="0" fontId="19" fillId="2" borderId="12" xfId="0" applyFont="1" applyFill="1" applyBorder="1" applyAlignment="1" applyProtection="1">
      <alignment horizontal="right" vertical="center"/>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165" fontId="9" fillId="2" borderId="39" xfId="1" applyNumberFormat="1" applyFont="1" applyFill="1" applyBorder="1" applyAlignment="1" applyProtection="1">
      <alignment horizontal="center" vertical="center"/>
    </xf>
    <xf numFmtId="0" fontId="4" fillId="2" borderId="38" xfId="0" applyFont="1" applyFill="1" applyBorder="1" applyAlignment="1" applyProtection="1">
      <alignment vertical="center"/>
    </xf>
    <xf numFmtId="0" fontId="9" fillId="2" borderId="38" xfId="0" applyFont="1" applyFill="1" applyBorder="1" applyAlignment="1" applyProtection="1">
      <alignment horizontal="center" vertical="center"/>
    </xf>
    <xf numFmtId="165" fontId="9" fillId="2" borderId="42" xfId="1" applyNumberFormat="1" applyFont="1" applyFill="1" applyBorder="1" applyAlignment="1" applyProtection="1">
      <alignment horizontal="left" vertical="center"/>
    </xf>
    <xf numFmtId="0" fontId="4" fillId="0" borderId="11" xfId="0" applyFont="1" applyFill="1" applyBorder="1" applyAlignment="1" applyProtection="1">
      <alignment vertical="center"/>
    </xf>
    <xf numFmtId="0" fontId="4" fillId="0" borderId="65" xfId="0" applyFont="1" applyFill="1" applyBorder="1" applyAlignment="1" applyProtection="1">
      <alignment vertical="center"/>
    </xf>
    <xf numFmtId="0" fontId="9" fillId="0" borderId="16" xfId="0"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61" xfId="0" applyFont="1" applyFill="1" applyBorder="1" applyAlignment="1" applyProtection="1">
      <alignment vertical="center"/>
    </xf>
    <xf numFmtId="0" fontId="4" fillId="0" borderId="22" xfId="0" applyFont="1" applyFill="1" applyBorder="1" applyAlignment="1" applyProtection="1">
      <alignment vertical="center"/>
    </xf>
    <xf numFmtId="0" fontId="9" fillId="0" borderId="32" xfId="0" applyFont="1" applyFill="1" applyBorder="1" applyAlignment="1" applyProtection="1">
      <alignment horizontal="center" vertical="center"/>
    </xf>
    <xf numFmtId="165" fontId="4" fillId="0" borderId="32" xfId="1" applyNumberFormat="1" applyFont="1" applyFill="1" applyBorder="1" applyAlignment="1" applyProtection="1">
      <alignment vertical="center"/>
    </xf>
    <xf numFmtId="165" fontId="7" fillId="0" borderId="69" xfId="0" applyNumberFormat="1" applyFont="1" applyFill="1" applyBorder="1" applyAlignment="1" applyProtection="1">
      <alignment vertical="center"/>
    </xf>
    <xf numFmtId="0" fontId="4" fillId="0" borderId="14" xfId="0" applyFont="1" applyFill="1" applyBorder="1" applyAlignment="1" applyProtection="1">
      <alignment vertical="center"/>
    </xf>
    <xf numFmtId="0" fontId="9" fillId="0" borderId="9" xfId="0" applyFont="1" applyFill="1" applyBorder="1" applyAlignment="1" applyProtection="1">
      <alignment horizontal="right" vertical="center"/>
    </xf>
    <xf numFmtId="41" fontId="9" fillId="0" borderId="9" xfId="1" applyNumberFormat="1" applyFont="1" applyFill="1" applyBorder="1" applyAlignment="1" applyProtection="1">
      <alignment horizontal="center" vertical="center"/>
    </xf>
    <xf numFmtId="43" fontId="9" fillId="0" borderId="61" xfId="1" applyFont="1" applyFill="1" applyBorder="1" applyAlignment="1" applyProtection="1">
      <alignment horizontal="left" vertical="center"/>
    </xf>
    <xf numFmtId="0" fontId="4" fillId="0" borderId="3" xfId="0" applyFont="1" applyFill="1" applyBorder="1" applyAlignment="1" applyProtection="1">
      <alignment vertical="center"/>
    </xf>
    <xf numFmtId="0" fontId="4" fillId="0" borderId="27" xfId="0" applyFont="1" applyFill="1" applyBorder="1" applyAlignment="1" applyProtection="1">
      <alignment vertical="center"/>
    </xf>
    <xf numFmtId="0" fontId="4" fillId="0" borderId="30" xfId="0" applyFont="1" applyFill="1" applyBorder="1" applyAlignment="1" applyProtection="1">
      <alignment vertical="center"/>
    </xf>
    <xf numFmtId="0" fontId="7" fillId="0" borderId="18" xfId="0" applyFont="1" applyFill="1" applyBorder="1" applyAlignment="1" applyProtection="1">
      <alignment horizontal="left" vertical="center"/>
    </xf>
    <xf numFmtId="0" fontId="4" fillId="0" borderId="2" xfId="0" applyFont="1" applyFill="1" applyBorder="1" applyAlignment="1" applyProtection="1">
      <alignment vertical="center"/>
    </xf>
    <xf numFmtId="0" fontId="7" fillId="0" borderId="24" xfId="0" applyFont="1" applyFill="1" applyBorder="1" applyAlignment="1" applyProtection="1">
      <alignment horizontal="left" vertical="center"/>
    </xf>
    <xf numFmtId="0" fontId="7" fillId="0" borderId="66" xfId="0" applyFont="1" applyFill="1" applyBorder="1" applyAlignment="1" applyProtection="1">
      <alignment horizontal="left" vertical="center"/>
    </xf>
    <xf numFmtId="0" fontId="4" fillId="0" borderId="26" xfId="0" applyFont="1" applyFill="1" applyBorder="1" applyAlignment="1" applyProtection="1">
      <alignment vertical="center"/>
    </xf>
    <xf numFmtId="167" fontId="4" fillId="0" borderId="0" xfId="0" applyNumberFormat="1" applyFont="1" applyFill="1" applyBorder="1" applyAlignment="1" applyProtection="1"/>
    <xf numFmtId="165" fontId="4" fillId="0" borderId="41" xfId="1" quotePrefix="1" applyNumberFormat="1" applyFont="1" applyBorder="1" applyAlignment="1" applyProtection="1">
      <alignment horizontal="center" vertical="center"/>
    </xf>
    <xf numFmtId="165" fontId="30" fillId="0" borderId="30" xfId="1" applyNumberFormat="1" applyFont="1" applyFill="1" applyBorder="1" applyAlignment="1" applyProtection="1">
      <alignment horizontal="right" vertical="center"/>
    </xf>
    <xf numFmtId="0" fontId="0" fillId="0" borderId="2" xfId="0" applyBorder="1" applyProtection="1"/>
    <xf numFmtId="0" fontId="28" fillId="0" borderId="72" xfId="0" applyFont="1" applyFill="1" applyBorder="1" applyAlignment="1" applyProtection="1">
      <alignment vertical="center"/>
    </xf>
    <xf numFmtId="0" fontId="28" fillId="0" borderId="48" xfId="0" applyFont="1" applyFill="1" applyBorder="1" applyAlignment="1" applyProtection="1">
      <alignment vertical="center"/>
    </xf>
    <xf numFmtId="0" fontId="28" fillId="0" borderId="49" xfId="0" applyFont="1" applyFill="1" applyBorder="1" applyAlignment="1" applyProtection="1">
      <alignment vertical="center"/>
    </xf>
    <xf numFmtId="0" fontId="0" fillId="0" borderId="0" xfId="0" applyBorder="1" applyProtection="1"/>
    <xf numFmtId="0" fontId="4" fillId="0" borderId="0" xfId="0" applyFont="1" applyBorder="1" applyAlignment="1" applyProtection="1"/>
    <xf numFmtId="165" fontId="9" fillId="0" borderId="54" xfId="1" applyNumberFormat="1" applyFont="1" applyFill="1" applyBorder="1" applyAlignment="1" applyProtection="1">
      <alignment horizontal="center" vertical="center"/>
    </xf>
    <xf numFmtId="165" fontId="9" fillId="0" borderId="47" xfId="1" applyNumberFormat="1" applyFont="1" applyFill="1" applyBorder="1" applyAlignment="1" applyProtection="1">
      <alignment horizontal="center" vertical="center"/>
    </xf>
    <xf numFmtId="165" fontId="9" fillId="0" borderId="46" xfId="1" applyNumberFormat="1" applyFont="1" applyFill="1" applyBorder="1" applyAlignment="1" applyProtection="1">
      <alignment horizontal="center" vertical="center"/>
    </xf>
    <xf numFmtId="165" fontId="9" fillId="0" borderId="28" xfId="1" applyNumberFormat="1" applyFont="1" applyFill="1" applyBorder="1" applyAlignment="1" applyProtection="1">
      <alignment horizontal="center" vertical="center"/>
    </xf>
    <xf numFmtId="165" fontId="9" fillId="0" borderId="9" xfId="1" applyNumberFormat="1" applyFont="1" applyFill="1" applyBorder="1" applyAlignment="1" applyProtection="1">
      <alignment horizontal="center" vertical="center"/>
    </xf>
    <xf numFmtId="165" fontId="9" fillId="0" borderId="45" xfId="1" applyNumberFormat="1" applyFont="1" applyFill="1" applyBorder="1" applyAlignment="1" applyProtection="1">
      <alignment horizontal="center" vertical="center"/>
    </xf>
    <xf numFmtId="165" fontId="9" fillId="0" borderId="33" xfId="1" applyNumberFormat="1" applyFont="1" applyFill="1" applyBorder="1" applyAlignment="1" applyProtection="1">
      <alignment horizontal="center" vertical="center"/>
    </xf>
    <xf numFmtId="165" fontId="9" fillId="0" borderId="10" xfId="1" applyNumberFormat="1" applyFont="1" applyFill="1" applyBorder="1" applyAlignment="1" applyProtection="1">
      <alignment horizontal="center" vertical="center"/>
    </xf>
    <xf numFmtId="165" fontId="9" fillId="0" borderId="25" xfId="1" applyNumberFormat="1" applyFont="1" applyFill="1" applyBorder="1" applyAlignment="1" applyProtection="1">
      <alignment horizontal="center" vertical="center"/>
    </xf>
    <xf numFmtId="0" fontId="0" fillId="0" borderId="17" xfId="0" applyBorder="1" applyAlignment="1" applyProtection="1">
      <alignment vertical="center"/>
    </xf>
    <xf numFmtId="0" fontId="4" fillId="0" borderId="18" xfId="0" applyFont="1" applyFill="1" applyBorder="1" applyAlignment="1" applyProtection="1">
      <alignment vertical="center"/>
    </xf>
    <xf numFmtId="0" fontId="5" fillId="0" borderId="21" xfId="0" applyFont="1" applyBorder="1" applyAlignment="1" applyProtection="1">
      <alignment vertical="center"/>
    </xf>
    <xf numFmtId="37" fontId="9" fillId="0" borderId="0" xfId="0" applyNumberFormat="1" applyFont="1" applyProtection="1"/>
    <xf numFmtId="165" fontId="9" fillId="0" borderId="16" xfId="1" applyNumberFormat="1" applyFont="1" applyFill="1" applyBorder="1" applyAlignment="1" applyProtection="1">
      <alignment horizontal="center" vertical="center"/>
    </xf>
    <xf numFmtId="0" fontId="4" fillId="0" borderId="7" xfId="0" applyFont="1" applyFill="1" applyBorder="1" applyAlignment="1" applyProtection="1">
      <alignment vertical="center"/>
    </xf>
    <xf numFmtId="167" fontId="9" fillId="0" borderId="44" xfId="1" applyNumberFormat="1" applyFont="1" applyFill="1" applyBorder="1" applyAlignment="1" applyProtection="1">
      <alignment horizontal="center" vertical="center"/>
    </xf>
    <xf numFmtId="167" fontId="9" fillId="0" borderId="37" xfId="1" applyNumberFormat="1" applyFont="1" applyFill="1" applyBorder="1" applyAlignment="1" applyProtection="1">
      <alignment horizontal="center" vertical="center"/>
    </xf>
    <xf numFmtId="168" fontId="4" fillId="4" borderId="16" xfId="0" applyNumberFormat="1" applyFont="1" applyFill="1" applyBorder="1" applyAlignment="1" applyProtection="1">
      <alignment horizontal="center" vertical="center"/>
      <protection locked="0"/>
    </xf>
    <xf numFmtId="169" fontId="4" fillId="4" borderId="16" xfId="0" applyNumberFormat="1" applyFont="1" applyFill="1" applyBorder="1" applyAlignment="1" applyProtection="1">
      <alignment horizontal="center" vertical="center"/>
      <protection locked="0"/>
    </xf>
    <xf numFmtId="168" fontId="4" fillId="4" borderId="32" xfId="0" applyNumberFormat="1" applyFont="1" applyFill="1" applyBorder="1" applyAlignment="1" applyProtection="1">
      <alignment horizontal="center" vertical="center"/>
      <protection locked="0"/>
    </xf>
    <xf numFmtId="165" fontId="4" fillId="4" borderId="28" xfId="1" applyNumberFormat="1" applyFont="1" applyFill="1" applyBorder="1" applyAlignment="1" applyProtection="1">
      <alignment horizontal="center" vertical="center"/>
      <protection locked="0"/>
    </xf>
    <xf numFmtId="165" fontId="4" fillId="4" borderId="38" xfId="1" applyNumberFormat="1" applyFont="1" applyFill="1" applyBorder="1" applyAlignment="1" applyProtection="1">
      <alignment vertical="center"/>
      <protection locked="0"/>
    </xf>
    <xf numFmtId="165" fontId="4" fillId="4" borderId="38" xfId="1" applyNumberFormat="1" applyFont="1" applyFill="1" applyBorder="1" applyAlignment="1" applyProtection="1">
      <alignment horizontal="center" vertical="center"/>
      <protection locked="0"/>
    </xf>
    <xf numFmtId="165" fontId="4" fillId="4" borderId="41" xfId="1" applyNumberFormat="1" applyFont="1" applyFill="1" applyBorder="1" applyAlignment="1" applyProtection="1">
      <alignment vertical="center"/>
      <protection locked="0"/>
    </xf>
    <xf numFmtId="0" fontId="4" fillId="4" borderId="37" xfId="0" applyFont="1" applyFill="1" applyBorder="1" applyAlignment="1" applyProtection="1">
      <alignment horizontal="center" vertical="center"/>
      <protection locked="0"/>
    </xf>
    <xf numFmtId="165" fontId="4" fillId="4" borderId="9" xfId="1" applyNumberFormat="1" applyFont="1" applyFill="1" applyBorder="1" applyAlignment="1" applyProtection="1">
      <alignment horizontal="center" vertical="center"/>
      <protection locked="0"/>
    </xf>
    <xf numFmtId="0" fontId="4" fillId="0" borderId="36" xfId="0" applyFont="1" applyBorder="1" applyAlignment="1" applyProtection="1">
      <alignment vertical="center"/>
    </xf>
    <xf numFmtId="0" fontId="4" fillId="0" borderId="37" xfId="0" applyFont="1" applyBorder="1" applyAlignment="1" applyProtection="1">
      <alignment vertical="center"/>
    </xf>
    <xf numFmtId="0" fontId="7" fillId="0" borderId="37" xfId="0" applyFont="1" applyBorder="1" applyAlignment="1" applyProtection="1">
      <alignment vertical="center"/>
    </xf>
    <xf numFmtId="0" fontId="4" fillId="0" borderId="38" xfId="0" applyFont="1" applyBorder="1" applyAlignment="1" applyProtection="1">
      <alignment vertical="center"/>
    </xf>
    <xf numFmtId="2" fontId="12" fillId="4" borderId="37" xfId="0" applyNumberFormat="1" applyFont="1" applyFill="1" applyBorder="1" applyAlignment="1" applyProtection="1">
      <alignment horizontal="center" vertical="center"/>
      <protection locked="0"/>
    </xf>
    <xf numFmtId="164" fontId="12" fillId="0" borderId="41"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 fontId="12" fillId="4" borderId="37" xfId="0" applyNumberFormat="1" applyFont="1" applyFill="1" applyBorder="1" applyAlignment="1" applyProtection="1">
      <alignment horizontal="center" vertical="center"/>
      <protection locked="0"/>
    </xf>
    <xf numFmtId="1" fontId="12" fillId="4" borderId="38" xfId="0" applyNumberFormat="1" applyFont="1" applyFill="1" applyBorder="1" applyAlignment="1" applyProtection="1">
      <alignment horizontal="center" vertical="center"/>
      <protection locked="0"/>
    </xf>
    <xf numFmtId="3" fontId="8" fillId="4" borderId="36" xfId="0" applyNumberFormat="1" applyFont="1" applyFill="1" applyBorder="1" applyAlignment="1" applyProtection="1">
      <alignment horizontal="center" vertical="center"/>
      <protection locked="0"/>
    </xf>
    <xf numFmtId="3" fontId="8" fillId="4" borderId="37" xfId="0" applyNumberFormat="1" applyFont="1" applyFill="1" applyBorder="1" applyAlignment="1" applyProtection="1">
      <alignment horizontal="center" vertical="center"/>
      <protection locked="0"/>
    </xf>
    <xf numFmtId="0" fontId="7" fillId="0" borderId="41" xfId="1" applyNumberFormat="1" applyFont="1" applyFill="1" applyBorder="1" applyAlignment="1" applyProtection="1">
      <alignment horizontal="center" vertical="center" shrinkToFit="1"/>
    </xf>
    <xf numFmtId="0" fontId="9" fillId="0" borderId="21" xfId="0" applyFont="1" applyFill="1" applyBorder="1" applyAlignment="1" applyProtection="1">
      <alignment horizontal="left" vertical="center"/>
    </xf>
    <xf numFmtId="0" fontId="4" fillId="0" borderId="39" xfId="0" applyFont="1" applyFill="1" applyBorder="1" applyAlignment="1" applyProtection="1">
      <alignment horizontal="center" vertical="center"/>
    </xf>
    <xf numFmtId="2" fontId="4" fillId="4" borderId="39" xfId="0" applyNumberFormat="1" applyFont="1" applyFill="1" applyBorder="1" applyAlignment="1" applyProtection="1">
      <alignment horizontal="center" vertical="center"/>
      <protection locked="0"/>
    </xf>
    <xf numFmtId="164" fontId="4" fillId="0" borderId="39" xfId="0" applyNumberFormat="1" applyFont="1" applyFill="1" applyBorder="1" applyAlignment="1" applyProtection="1">
      <alignment horizontal="center" vertical="center"/>
    </xf>
    <xf numFmtId="2" fontId="4" fillId="4" borderId="37" xfId="0" applyNumberFormat="1" applyFont="1" applyFill="1" applyBorder="1" applyAlignment="1" applyProtection="1">
      <alignment horizontal="center" vertical="center"/>
      <protection locked="0"/>
    </xf>
    <xf numFmtId="164" fontId="4" fillId="0" borderId="37" xfId="0" applyNumberFormat="1" applyFont="1" applyFill="1" applyBorder="1" applyAlignment="1" applyProtection="1">
      <alignment horizontal="center" vertical="center"/>
    </xf>
    <xf numFmtId="1" fontId="4" fillId="4" borderId="37" xfId="0" applyNumberFormat="1"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xf>
    <xf numFmtId="1" fontId="4" fillId="4" borderId="38" xfId="0" applyNumberFormat="1" applyFont="1" applyFill="1" applyBorder="1" applyAlignment="1" applyProtection="1">
      <alignment horizontal="center" vertical="center"/>
      <protection locked="0"/>
    </xf>
    <xf numFmtId="164" fontId="4" fillId="0" borderId="38" xfId="0" applyNumberFormat="1" applyFont="1" applyFill="1" applyBorder="1" applyAlignment="1" applyProtection="1">
      <alignment horizontal="center" vertical="center"/>
    </xf>
    <xf numFmtId="0" fontId="7" fillId="0" borderId="5" xfId="0" applyFont="1" applyFill="1" applyBorder="1" applyAlignment="1" applyProtection="1">
      <alignment vertical="center"/>
    </xf>
    <xf numFmtId="2" fontId="4" fillId="0" borderId="41" xfId="0" applyNumberFormat="1" applyFont="1" applyFill="1" applyBorder="1" applyAlignment="1" applyProtection="1">
      <alignment vertical="center"/>
    </xf>
    <xf numFmtId="0" fontId="7" fillId="0" borderId="13" xfId="0" applyFont="1" applyFill="1" applyBorder="1" applyAlignment="1" applyProtection="1">
      <alignment vertical="center"/>
    </xf>
    <xf numFmtId="0" fontId="4" fillId="0" borderId="44" xfId="0" applyFont="1" applyFill="1" applyBorder="1" applyAlignment="1" applyProtection="1">
      <alignment vertical="center"/>
    </xf>
    <xf numFmtId="2" fontId="4" fillId="0" borderId="44" xfId="0" applyNumberFormat="1" applyFont="1" applyFill="1" applyBorder="1" applyAlignment="1" applyProtection="1">
      <alignment vertical="center"/>
    </xf>
    <xf numFmtId="164" fontId="7" fillId="0" borderId="44" xfId="0" applyNumberFormat="1" applyFont="1" applyFill="1" applyBorder="1" applyAlignment="1" applyProtection="1">
      <alignment horizontal="center" vertical="center"/>
    </xf>
    <xf numFmtId="0" fontId="7" fillId="0" borderId="4" xfId="0" applyFont="1" applyFill="1" applyBorder="1" applyAlignment="1" applyProtection="1">
      <alignment vertical="center"/>
    </xf>
    <xf numFmtId="2" fontId="4" fillId="0" borderId="37" xfId="0" applyNumberFormat="1" applyFont="1" applyFill="1" applyBorder="1" applyAlignment="1" applyProtection="1">
      <alignment horizontal="center" vertical="center"/>
    </xf>
    <xf numFmtId="164" fontId="4" fillId="0" borderId="42" xfId="0" applyNumberFormat="1" applyFont="1" applyFill="1" applyBorder="1" applyAlignment="1" applyProtection="1">
      <alignment horizontal="center"/>
    </xf>
    <xf numFmtId="2" fontId="4" fillId="0" borderId="2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3" fontId="4" fillId="4" borderId="42" xfId="1" applyNumberFormat="1" applyFont="1" applyFill="1" applyBorder="1" applyAlignment="1" applyProtection="1">
      <alignment horizontal="center" vertical="center"/>
      <protection locked="0"/>
    </xf>
    <xf numFmtId="164" fontId="12" fillId="0" borderId="42" xfId="0" applyNumberFormat="1" applyFont="1" applyFill="1" applyBorder="1" applyAlignment="1" applyProtection="1">
      <alignment horizontal="center" vertical="center"/>
    </xf>
    <xf numFmtId="164" fontId="9" fillId="0" borderId="42" xfId="0" applyNumberFormat="1" applyFont="1" applyFill="1" applyBorder="1" applyAlignment="1" applyProtection="1">
      <alignment horizontal="center" vertical="center"/>
    </xf>
    <xf numFmtId="164" fontId="4" fillId="0" borderId="42" xfId="0" applyNumberFormat="1" applyFont="1" applyFill="1" applyBorder="1" applyAlignment="1" applyProtection="1">
      <alignment horizontal="center" vertical="center"/>
    </xf>
    <xf numFmtId="0" fontId="12" fillId="0" borderId="0" xfId="0" applyFont="1" applyFill="1" applyBorder="1" applyAlignment="1" applyProtection="1">
      <alignment vertical="center"/>
    </xf>
    <xf numFmtId="2" fontId="4" fillId="4" borderId="42" xfId="0" applyNumberFormat="1" applyFont="1" applyFill="1" applyBorder="1" applyAlignment="1" applyProtection="1">
      <alignment horizontal="center" vertical="center"/>
      <protection locked="0"/>
    </xf>
    <xf numFmtId="0" fontId="34" fillId="0" borderId="0" xfId="0" applyFont="1" applyBorder="1" applyAlignment="1" applyProtection="1">
      <alignment vertical="center"/>
    </xf>
    <xf numFmtId="0" fontId="35" fillId="0" borderId="0" xfId="0" applyFont="1" applyBorder="1" applyAlignment="1" applyProtection="1">
      <alignment vertical="top" wrapText="1"/>
    </xf>
    <xf numFmtId="0" fontId="10"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3" fontId="7" fillId="0" borderId="0" xfId="1" applyFont="1" applyFill="1" applyBorder="1" applyProtection="1"/>
    <xf numFmtId="165" fontId="4" fillId="0" borderId="0" xfId="1" applyNumberFormat="1" applyFont="1" applyFill="1" applyBorder="1" applyProtection="1"/>
    <xf numFmtId="0" fontId="4" fillId="0" borderId="0" xfId="0" applyFont="1" applyFill="1" applyBorder="1" applyAlignment="1" applyProtection="1">
      <alignment horizontal="left"/>
    </xf>
    <xf numFmtId="165" fontId="28" fillId="0" borderId="0" xfId="1" applyNumberFormat="1" applyFont="1" applyFill="1" applyBorder="1" applyProtection="1"/>
    <xf numFmtId="170" fontId="28" fillId="0" borderId="0" xfId="0" applyNumberFormat="1" applyFont="1" applyFill="1" applyBorder="1" applyProtection="1"/>
    <xf numFmtId="0" fontId="33" fillId="0" borderId="0" xfId="0" applyFont="1" applyFill="1" applyBorder="1" applyProtection="1"/>
    <xf numFmtId="43" fontId="33" fillId="0" borderId="0" xfId="1" applyFont="1" applyFill="1" applyBorder="1" applyProtection="1"/>
    <xf numFmtId="2" fontId="4" fillId="0" borderId="0" xfId="0" applyNumberFormat="1" applyFont="1" applyFill="1" applyBorder="1" applyProtection="1"/>
    <xf numFmtId="43" fontId="28" fillId="0" borderId="0" xfId="1" applyFont="1" applyFill="1" applyBorder="1" applyProtection="1"/>
    <xf numFmtId="43" fontId="7" fillId="0" borderId="0" xfId="1" applyFont="1" applyFill="1" applyBorder="1" applyAlignment="1" applyProtection="1">
      <alignment horizontal="right"/>
    </xf>
    <xf numFmtId="43" fontId="11" fillId="0" borderId="0" xfId="1" applyFont="1" applyFill="1" applyBorder="1" applyProtection="1"/>
    <xf numFmtId="165" fontId="34" fillId="0" borderId="0" xfId="0" applyNumberFormat="1" applyFont="1" applyBorder="1" applyAlignment="1" applyProtection="1">
      <alignment horizontal="center" vertical="center"/>
    </xf>
    <xf numFmtId="0" fontId="4" fillId="0" borderId="4" xfId="0" applyFont="1" applyFill="1" applyBorder="1" applyAlignment="1" applyProtection="1">
      <alignment vertical="center"/>
    </xf>
    <xf numFmtId="0" fontId="7" fillId="0" borderId="13"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68" xfId="0" applyFont="1" applyFill="1" applyBorder="1" applyAlignment="1" applyProtection="1">
      <alignment horizontal="left" vertical="center"/>
    </xf>
    <xf numFmtId="0" fontId="7" fillId="0" borderId="67"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65" xfId="0" applyFont="1" applyFill="1" applyBorder="1" applyAlignment="1" applyProtection="1">
      <alignment horizontal="left" vertical="center"/>
    </xf>
    <xf numFmtId="0" fontId="13" fillId="0" borderId="3" xfId="0" applyFont="1" applyFill="1" applyBorder="1" applyAlignment="1" applyProtection="1">
      <alignment horizontal="right" vertical="center"/>
    </xf>
    <xf numFmtId="0" fontId="13" fillId="0" borderId="65" xfId="0" applyFont="1" applyFill="1" applyBorder="1" applyAlignment="1" applyProtection="1">
      <alignment horizontal="right" vertical="center"/>
    </xf>
    <xf numFmtId="0" fontId="4" fillId="0" borderId="2" xfId="0" applyFont="1" applyFill="1" applyBorder="1" applyAlignment="1" applyProtection="1">
      <alignment horizontal="left" vertical="center"/>
    </xf>
    <xf numFmtId="165" fontId="7" fillId="0" borderId="21" xfId="0" applyNumberFormat="1" applyFont="1" applyFill="1" applyBorder="1" applyAlignment="1" applyProtection="1">
      <alignment vertical="center"/>
    </xf>
    <xf numFmtId="0" fontId="4" fillId="0" borderId="37" xfId="0" applyFont="1" applyFill="1" applyBorder="1" applyAlignment="1" applyProtection="1">
      <alignment horizontal="left" vertical="top" wrapText="1"/>
    </xf>
    <xf numFmtId="0" fontId="4" fillId="0" borderId="37" xfId="0" applyFont="1" applyFill="1" applyBorder="1" applyAlignment="1" applyProtection="1">
      <alignment horizontal="left"/>
    </xf>
    <xf numFmtId="0" fontId="10" fillId="0" borderId="38" xfId="0" applyFont="1" applyFill="1" applyBorder="1" applyAlignment="1" applyProtection="1">
      <alignment horizontal="right" vertical="center"/>
    </xf>
    <xf numFmtId="0" fontId="4" fillId="0" borderId="16"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10" fillId="0" borderId="19" xfId="0" applyFont="1" applyFill="1" applyBorder="1" applyAlignment="1" applyProtection="1">
      <alignment horizontal="right" vertical="center"/>
    </xf>
    <xf numFmtId="0" fontId="4" fillId="0" borderId="17" xfId="0" applyFont="1" applyFill="1" applyBorder="1" applyAlignment="1" applyProtection="1">
      <alignment horizontal="right" vertical="center"/>
    </xf>
    <xf numFmtId="0" fontId="4" fillId="0" borderId="37" xfId="0" applyFont="1" applyFill="1" applyBorder="1" applyAlignment="1" applyProtection="1">
      <alignment horizontal="right" vertical="center"/>
    </xf>
    <xf numFmtId="165" fontId="4" fillId="0" borderId="44" xfId="1" applyNumberFormat="1" applyFont="1" applyFill="1" applyBorder="1" applyAlignment="1" applyProtection="1">
      <alignment horizontal="right"/>
    </xf>
    <xf numFmtId="165" fontId="4" fillId="0" borderId="16" xfId="1" applyNumberFormat="1" applyFont="1" applyFill="1" applyBorder="1" applyAlignment="1" applyProtection="1">
      <alignment horizontal="right"/>
    </xf>
    <xf numFmtId="165" fontId="4" fillId="0" borderId="12" xfId="1" applyNumberFormat="1" applyFont="1" applyFill="1" applyBorder="1" applyAlignment="1" applyProtection="1">
      <alignment horizontal="right"/>
    </xf>
    <xf numFmtId="165" fontId="4" fillId="0" borderId="37" xfId="1" applyNumberFormat="1" applyFont="1" applyFill="1" applyBorder="1" applyAlignment="1" applyProtection="1">
      <alignment horizontal="right"/>
    </xf>
    <xf numFmtId="165" fontId="4" fillId="0" borderId="17" xfId="1" applyNumberFormat="1" applyFont="1" applyFill="1" applyBorder="1" applyAlignment="1" applyProtection="1">
      <alignment horizontal="right"/>
    </xf>
    <xf numFmtId="165" fontId="4" fillId="0" borderId="17" xfId="1" applyNumberFormat="1" applyFont="1" applyFill="1" applyBorder="1" applyAlignment="1" applyProtection="1">
      <alignment horizontal="right" vertical="center"/>
    </xf>
    <xf numFmtId="165" fontId="10" fillId="0" borderId="38" xfId="1" applyNumberFormat="1" applyFont="1" applyFill="1" applyBorder="1" applyAlignment="1" applyProtection="1">
      <alignment horizontal="right" vertical="center"/>
    </xf>
    <xf numFmtId="165" fontId="10" fillId="0" borderId="19" xfId="1" applyNumberFormat="1" applyFont="1" applyFill="1" applyBorder="1" applyAlignment="1" applyProtection="1">
      <alignment horizontal="right" vertical="center"/>
    </xf>
    <xf numFmtId="165" fontId="4" fillId="0" borderId="26"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xf>
    <xf numFmtId="0" fontId="9" fillId="0" borderId="41" xfId="0" applyFont="1" applyFill="1" applyBorder="1" applyAlignment="1" applyProtection="1">
      <alignment horizontal="left" vertical="center" wrapText="1"/>
    </xf>
    <xf numFmtId="0" fontId="9" fillId="0" borderId="21"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protection locked="0"/>
    </xf>
    <xf numFmtId="2" fontId="4" fillId="4" borderId="36" xfId="0" applyNumberFormat="1" applyFont="1" applyFill="1" applyBorder="1" applyAlignment="1" applyProtection="1">
      <alignment horizontal="center" vertical="center"/>
      <protection locked="0"/>
    </xf>
    <xf numFmtId="165" fontId="6"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5" fontId="4" fillId="0" borderId="37" xfId="1" applyNumberFormat="1" applyFont="1" applyFill="1" applyBorder="1" applyAlignment="1" applyProtection="1">
      <alignment horizontal="right" vertical="center"/>
    </xf>
    <xf numFmtId="165" fontId="4" fillId="0" borderId="36" xfId="1" applyNumberFormat="1" applyFont="1" applyFill="1" applyBorder="1" applyAlignment="1" applyProtection="1">
      <alignment horizontal="right" vertical="center"/>
    </xf>
    <xf numFmtId="165" fontId="4" fillId="0" borderId="21" xfId="1" applyNumberFormat="1" applyFont="1" applyFill="1" applyBorder="1" applyAlignment="1" applyProtection="1">
      <alignment horizontal="left" vertical="top" wrapText="1"/>
    </xf>
    <xf numFmtId="165" fontId="30" fillId="0" borderId="5" xfId="1" applyNumberFormat="1" applyFont="1" applyFill="1" applyBorder="1" applyAlignment="1" applyProtection="1">
      <alignment horizontal="right" vertical="center"/>
    </xf>
    <xf numFmtId="165" fontId="4" fillId="4" borderId="5" xfId="1" applyNumberFormat="1" applyFont="1" applyFill="1" applyBorder="1" applyAlignment="1" applyProtection="1">
      <alignment vertical="top" wrapText="1"/>
      <protection locked="0"/>
    </xf>
    <xf numFmtId="165" fontId="7" fillId="0" borderId="5" xfId="1" applyNumberFormat="1" applyFont="1" applyFill="1" applyBorder="1" applyAlignment="1" applyProtection="1">
      <alignment vertical="top" wrapText="1"/>
    </xf>
    <xf numFmtId="165" fontId="4" fillId="4" borderId="21" xfId="1" applyNumberFormat="1" applyFont="1" applyFill="1" applyBorder="1" applyAlignment="1" applyProtection="1">
      <alignment horizontal="left" vertical="top" wrapText="1"/>
      <protection locked="0"/>
    </xf>
    <xf numFmtId="165" fontId="30" fillId="0" borderId="0" xfId="1" applyNumberFormat="1" applyFont="1" applyFill="1" applyBorder="1" applyAlignment="1" applyProtection="1">
      <alignment horizontal="right" vertical="center"/>
    </xf>
    <xf numFmtId="165" fontId="10" fillId="0" borderId="0" xfId="1" applyNumberFormat="1" applyFont="1" applyFill="1" applyBorder="1" applyAlignment="1" applyProtection="1">
      <alignment vertical="center"/>
    </xf>
    <xf numFmtId="165" fontId="4" fillId="0" borderId="0" xfId="1" applyNumberFormat="1" applyFont="1" applyFill="1" applyBorder="1" applyAlignment="1" applyProtection="1">
      <alignment horizontal="left" vertical="top" wrapText="1"/>
    </xf>
    <xf numFmtId="165" fontId="7" fillId="0" borderId="0" xfId="1" applyNumberFormat="1" applyFont="1" applyFill="1" applyBorder="1" applyAlignment="1" applyProtection="1">
      <alignment vertical="top" wrapText="1"/>
    </xf>
    <xf numFmtId="165" fontId="30" fillId="0" borderId="7" xfId="1" applyNumberFormat="1" applyFont="1" applyFill="1" applyBorder="1" applyAlignment="1" applyProtection="1">
      <alignment horizontal="right" vertical="center"/>
    </xf>
    <xf numFmtId="165" fontId="10" fillId="0" borderId="27" xfId="1" applyNumberFormat="1" applyFont="1" applyFill="1" applyBorder="1" applyAlignment="1" applyProtection="1">
      <alignment vertical="center"/>
    </xf>
    <xf numFmtId="165" fontId="4" fillId="0" borderId="5" xfId="1" applyNumberFormat="1" applyFont="1" applyFill="1" applyBorder="1" applyAlignment="1" applyProtection="1">
      <alignment horizontal="left" vertical="top" wrapText="1"/>
    </xf>
    <xf numFmtId="43" fontId="5" fillId="0" borderId="0" xfId="1" applyFont="1" applyFill="1" applyBorder="1" applyAlignment="1" applyProtection="1">
      <alignment horizontal="center" vertical="center"/>
    </xf>
    <xf numFmtId="165" fontId="4" fillId="0" borderId="0" xfId="1" applyNumberFormat="1" applyFont="1" applyFill="1" applyBorder="1" applyAlignment="1" applyProtection="1">
      <alignment horizontal="right" vertical="center"/>
    </xf>
    <xf numFmtId="0" fontId="9" fillId="0" borderId="0" xfId="0" applyFont="1" applyFill="1" applyBorder="1" applyAlignment="1" applyProtection="1">
      <alignment vertical="top"/>
    </xf>
    <xf numFmtId="164" fontId="8" fillId="0" borderId="0" xfId="0" applyNumberFormat="1" applyFont="1" applyFill="1" applyProtection="1"/>
    <xf numFmtId="0" fontId="7" fillId="0" borderId="41" xfId="0" applyFont="1" applyFill="1" applyBorder="1" applyProtection="1"/>
    <xf numFmtId="0" fontId="4" fillId="0" borderId="41" xfId="0" applyFont="1" applyFill="1" applyBorder="1" applyProtection="1"/>
    <xf numFmtId="0" fontId="7" fillId="0" borderId="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26" xfId="0" applyFont="1" applyFill="1" applyBorder="1" applyAlignment="1" applyProtection="1">
      <alignment vertical="center"/>
    </xf>
    <xf numFmtId="3" fontId="8" fillId="4" borderId="44" xfId="0" applyNumberFormat="1" applyFont="1" applyFill="1" applyBorder="1" applyAlignment="1" applyProtection="1">
      <alignment horizontal="center" vertical="center"/>
      <protection locked="0"/>
    </xf>
    <xf numFmtId="3" fontId="8" fillId="4" borderId="4" xfId="0" applyNumberFormat="1" applyFont="1" applyFill="1" applyBorder="1" applyAlignment="1" applyProtection="1">
      <alignment horizontal="center" vertical="center"/>
      <protection locked="0"/>
    </xf>
    <xf numFmtId="0" fontId="8" fillId="0" borderId="36" xfId="0" applyFont="1" applyFill="1" applyBorder="1" applyAlignment="1" applyProtection="1">
      <alignment vertical="center"/>
    </xf>
    <xf numFmtId="165" fontId="8" fillId="0" borderId="40" xfId="1" applyNumberFormat="1" applyFont="1" applyFill="1" applyBorder="1" applyAlignment="1" applyProtection="1">
      <alignment vertical="center"/>
    </xf>
    <xf numFmtId="165" fontId="7" fillId="0" borderId="36" xfId="1" applyNumberFormat="1" applyFont="1" applyFill="1" applyBorder="1" applyAlignment="1" applyProtection="1">
      <alignment vertical="center"/>
    </xf>
    <xf numFmtId="165" fontId="4" fillId="0" borderId="41" xfId="1" quotePrefix="1" applyNumberFormat="1" applyFont="1" applyFill="1" applyBorder="1" applyAlignment="1" applyProtection="1">
      <alignment horizontal="right"/>
    </xf>
    <xf numFmtId="165" fontId="4" fillId="0" borderId="0" xfId="0" applyNumberFormat="1" applyFont="1" applyFill="1" applyAlignment="1" applyProtection="1">
      <alignment vertical="center"/>
    </xf>
    <xf numFmtId="43" fontId="4" fillId="0" borderId="0" xfId="0" applyNumberFormat="1" applyFont="1" applyFill="1" applyAlignment="1" applyProtection="1">
      <alignment vertical="center"/>
    </xf>
    <xf numFmtId="0" fontId="35" fillId="0" borderId="0" xfId="0" applyFont="1" applyBorder="1" applyAlignment="1" applyProtection="1">
      <alignment vertical="center" wrapText="1"/>
    </xf>
    <xf numFmtId="0" fontId="4" fillId="0" borderId="66" xfId="0" applyFont="1" applyFill="1" applyBorder="1" applyAlignment="1" applyProtection="1">
      <alignment horizontal="left" vertical="center"/>
    </xf>
    <xf numFmtId="0" fontId="7" fillId="0" borderId="0" xfId="0" applyFont="1" applyAlignment="1" applyProtection="1">
      <alignment horizontal="center" vertical="center"/>
    </xf>
    <xf numFmtId="0" fontId="7" fillId="0" borderId="0" xfId="0" applyFont="1" applyFill="1" applyAlignment="1" applyProtection="1">
      <alignment horizontal="left"/>
    </xf>
    <xf numFmtId="165" fontId="7" fillId="0" borderId="43" xfId="0" applyNumberFormat="1" applyFont="1" applyBorder="1" applyAlignment="1" applyProtection="1">
      <alignment horizontal="center" vertical="center"/>
    </xf>
    <xf numFmtId="165" fontId="4" fillId="0" borderId="41" xfId="1" applyNumberFormat="1" applyFont="1" applyBorder="1" applyAlignment="1" applyProtection="1">
      <alignment horizontal="center" vertical="center"/>
    </xf>
    <xf numFmtId="0" fontId="7" fillId="0" borderId="0" xfId="0" applyFont="1" applyFill="1" applyAlignment="1" applyProtection="1">
      <alignment horizontal="center" vertical="center"/>
    </xf>
    <xf numFmtId="0" fontId="17" fillId="0" borderId="0" xfId="0" applyFont="1" applyAlignment="1" applyProtection="1">
      <alignment vertical="center"/>
    </xf>
    <xf numFmtId="0" fontId="37" fillId="0" borderId="0" xfId="0" applyFont="1" applyAlignment="1" applyProtection="1">
      <alignment vertical="center"/>
    </xf>
    <xf numFmtId="0" fontId="7" fillId="0" borderId="83" xfId="0" applyFont="1" applyFill="1" applyBorder="1" applyAlignment="1" applyProtection="1">
      <alignment horizontal="left" vertical="center"/>
    </xf>
    <xf numFmtId="0" fontId="4" fillId="0" borderId="43" xfId="0" applyFont="1" applyBorder="1" applyAlignment="1" applyProtection="1">
      <alignment vertical="center"/>
    </xf>
    <xf numFmtId="0" fontId="4" fillId="0" borderId="0" xfId="0" quotePrefix="1" applyFont="1" applyFill="1" applyProtection="1"/>
    <xf numFmtId="165" fontId="4" fillId="0" borderId="0" xfId="0" applyNumberFormat="1" applyFont="1" applyAlignment="1" applyProtection="1">
      <alignment vertical="center"/>
    </xf>
    <xf numFmtId="0" fontId="14" fillId="0" borderId="27" xfId="0" applyFont="1" applyFill="1" applyBorder="1" applyAlignment="1" applyProtection="1">
      <alignment horizontal="center" vertical="center" wrapText="1"/>
    </xf>
    <xf numFmtId="0" fontId="4" fillId="0" borderId="43" xfId="0" applyFont="1" applyFill="1" applyBorder="1" applyAlignment="1" applyProtection="1">
      <alignment horizontal="right" vertical="center"/>
    </xf>
    <xf numFmtId="0" fontId="4" fillId="0" borderId="36" xfId="0" applyFont="1" applyFill="1" applyBorder="1" applyAlignment="1" applyProtection="1">
      <alignment horizontal="right" vertical="center"/>
    </xf>
    <xf numFmtId="0" fontId="4" fillId="0" borderId="44" xfId="0" applyFont="1" applyFill="1" applyBorder="1" applyAlignment="1" applyProtection="1">
      <alignment horizontal="right" vertical="center"/>
    </xf>
    <xf numFmtId="165" fontId="4" fillId="0" borderId="12" xfId="1" applyNumberFormat="1" applyFont="1" applyFill="1" applyBorder="1" applyAlignment="1" applyProtection="1">
      <alignment horizontal="right" vertical="center"/>
    </xf>
    <xf numFmtId="165" fontId="40" fillId="0" borderId="80" xfId="1" applyNumberFormat="1" applyFont="1" applyFill="1" applyBorder="1" applyAlignment="1" applyProtection="1">
      <alignment vertical="center"/>
    </xf>
    <xf numFmtId="165" fontId="40" fillId="0" borderId="84" xfId="1" applyNumberFormat="1" applyFont="1" applyFill="1" applyBorder="1" applyAlignment="1" applyProtection="1">
      <alignment vertical="center"/>
    </xf>
    <xf numFmtId="165" fontId="40" fillId="0" borderId="75" xfId="1" applyNumberFormat="1" applyFont="1" applyFill="1" applyBorder="1" applyAlignment="1" applyProtection="1">
      <alignment vertical="center"/>
    </xf>
    <xf numFmtId="165" fontId="40" fillId="0" borderId="76" xfId="1" applyNumberFormat="1" applyFont="1" applyFill="1" applyBorder="1" applyAlignment="1" applyProtection="1">
      <alignment vertical="center"/>
    </xf>
    <xf numFmtId="165" fontId="40" fillId="0" borderId="79" xfId="1" applyNumberFormat="1" applyFont="1" applyFill="1" applyBorder="1" applyAlignment="1" applyProtection="1">
      <alignment vertical="center"/>
    </xf>
    <xf numFmtId="165" fontId="40" fillId="0" borderId="78" xfId="1" applyNumberFormat="1" applyFont="1" applyFill="1" applyBorder="1" applyAlignment="1" applyProtection="1">
      <alignment vertical="center"/>
    </xf>
    <xf numFmtId="2" fontId="4" fillId="0" borderId="2" xfId="0" applyNumberFormat="1"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165" fontId="7" fillId="0" borderId="43" xfId="1" applyNumberFormat="1" applyFont="1" applyFill="1" applyBorder="1" applyAlignment="1" applyProtection="1">
      <alignment horizontal="center" vertical="center"/>
    </xf>
    <xf numFmtId="0" fontId="4" fillId="4" borderId="41"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xf>
    <xf numFmtId="0" fontId="28" fillId="0" borderId="0" xfId="0" applyFont="1" applyFill="1" applyAlignment="1" applyProtection="1">
      <alignment vertical="center"/>
    </xf>
    <xf numFmtId="0" fontId="28" fillId="0" borderId="0" xfId="0" applyNumberFormat="1" applyFont="1" applyFill="1" applyBorder="1" applyAlignment="1" applyProtection="1">
      <alignment horizontal="left"/>
    </xf>
    <xf numFmtId="165" fontId="4" fillId="2" borderId="37" xfId="1" applyNumberFormat="1" applyFont="1" applyFill="1" applyBorder="1" applyAlignment="1" applyProtection="1">
      <alignment horizontal="right"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10" fillId="0" borderId="1" xfId="0" applyFont="1" applyFill="1" applyBorder="1" applyAlignment="1" applyProtection="1">
      <alignment vertical="center"/>
    </xf>
    <xf numFmtId="165" fontId="4" fillId="0" borderId="2" xfId="1" applyNumberFormat="1" applyFont="1" applyFill="1" applyBorder="1" applyAlignment="1" applyProtection="1">
      <alignment horizontal="center" vertical="top" wrapText="1"/>
    </xf>
    <xf numFmtId="165" fontId="4" fillId="0" borderId="26" xfId="1" applyNumberFormat="1" applyFont="1" applyFill="1" applyBorder="1" applyAlignment="1" applyProtection="1">
      <alignment horizontal="center" vertical="top" wrapText="1"/>
    </xf>
    <xf numFmtId="165" fontId="4" fillId="0" borderId="20" xfId="1" applyNumberFormat="1"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left" vertical="center"/>
    </xf>
    <xf numFmtId="0" fontId="21" fillId="0" borderId="2" xfId="0" applyFont="1" applyFill="1" applyBorder="1" applyAlignment="1" applyProtection="1">
      <alignment vertical="center"/>
    </xf>
    <xf numFmtId="0" fontId="21" fillId="0" borderId="26" xfId="0" applyFont="1" applyFill="1" applyBorder="1" applyAlignment="1" applyProtection="1">
      <alignment vertical="center"/>
    </xf>
    <xf numFmtId="2" fontId="12" fillId="0" borderId="41" xfId="0" applyNumberFormat="1" applyFont="1" applyFill="1" applyBorder="1" applyAlignment="1" applyProtection="1">
      <alignment horizontal="center" vertical="center"/>
    </xf>
    <xf numFmtId="2" fontId="12" fillId="0" borderId="44" xfId="0" applyNumberFormat="1" applyFont="1" applyFill="1" applyBorder="1" applyAlignment="1" applyProtection="1">
      <alignment horizontal="center" vertical="center"/>
    </xf>
    <xf numFmtId="0" fontId="30" fillId="0" borderId="0" xfId="0" applyFont="1" applyFill="1" applyProtection="1"/>
    <xf numFmtId="165" fontId="8" fillId="0" borderId="41" xfId="1" applyNumberFormat="1" applyFont="1" applyFill="1" applyBorder="1" applyProtection="1"/>
    <xf numFmtId="0" fontId="4" fillId="0" borderId="17" xfId="0" applyFont="1" applyFill="1" applyBorder="1" applyAlignment="1" applyProtection="1">
      <alignment vertical="center"/>
    </xf>
    <xf numFmtId="3" fontId="8" fillId="0" borderId="44" xfId="0" applyNumberFormat="1" applyFont="1" applyFill="1" applyBorder="1" applyAlignment="1" applyProtection="1">
      <alignment horizontal="center" vertical="center"/>
    </xf>
    <xf numFmtId="3" fontId="8" fillId="0" borderId="4" xfId="0" applyNumberFormat="1" applyFont="1" applyFill="1" applyBorder="1" applyAlignment="1" applyProtection="1">
      <alignment horizontal="center" vertical="center"/>
    </xf>
    <xf numFmtId="3" fontId="8" fillId="0" borderId="22" xfId="0" applyNumberFormat="1" applyFont="1" applyFill="1" applyBorder="1" applyAlignment="1" applyProtection="1">
      <alignment horizontal="center" vertical="center"/>
    </xf>
    <xf numFmtId="0" fontId="7" fillId="0" borderId="12" xfId="0" applyFont="1" applyFill="1" applyBorder="1" applyProtection="1"/>
    <xf numFmtId="165" fontId="16" fillId="0" borderId="0" xfId="0" applyNumberFormat="1" applyFont="1" applyFill="1" applyAlignment="1" applyProtection="1">
      <alignment horizontal="left"/>
    </xf>
    <xf numFmtId="0" fontId="4" fillId="2" borderId="15" xfId="0" applyFont="1" applyFill="1" applyBorder="1" applyAlignment="1" applyProtection="1">
      <alignment horizontal="center" vertical="center"/>
    </xf>
    <xf numFmtId="0" fontId="12" fillId="0" borderId="0" xfId="0" applyFont="1" applyFill="1" applyAlignment="1" applyProtection="1">
      <alignment horizontal="left"/>
    </xf>
    <xf numFmtId="0" fontId="4" fillId="0" borderId="0" xfId="0" applyNumberFormat="1" applyFont="1" applyFill="1" applyAlignment="1" applyProtection="1">
      <alignment vertical="center"/>
    </xf>
    <xf numFmtId="0" fontId="4" fillId="0" borderId="0" xfId="0" applyNumberFormat="1" applyFont="1" applyFill="1" applyBorder="1" applyAlignment="1" applyProtection="1">
      <alignment horizontal="left"/>
    </xf>
    <xf numFmtId="0" fontId="4" fillId="0" borderId="0" xfId="0" applyNumberFormat="1" applyFont="1" applyFill="1" applyProtection="1"/>
    <xf numFmtId="0" fontId="21" fillId="0" borderId="0" xfId="0" applyFont="1" applyAlignment="1" applyProtection="1">
      <alignment vertical="center"/>
    </xf>
    <xf numFmtId="0" fontId="4" fillId="0" borderId="44" xfId="0" applyFont="1" applyBorder="1" applyAlignment="1" applyProtection="1">
      <alignment vertical="center"/>
    </xf>
    <xf numFmtId="0" fontId="7" fillId="0" borderId="39" xfId="0" applyFont="1" applyBorder="1" applyAlignment="1" applyProtection="1">
      <alignment vertical="center"/>
    </xf>
    <xf numFmtId="0" fontId="4" fillId="0" borderId="22" xfId="0" applyFont="1" applyBorder="1" applyAlignment="1" applyProtection="1">
      <alignment vertical="center"/>
    </xf>
    <xf numFmtId="0" fontId="7" fillId="0" borderId="5" xfId="0" applyFont="1" applyBorder="1" applyAlignment="1" applyProtection="1">
      <alignment horizontal="center" vertical="center" wrapText="1"/>
    </xf>
    <xf numFmtId="0" fontId="4" fillId="0" borderId="0" xfId="0" applyFont="1" applyAlignment="1" applyProtection="1">
      <alignment horizontal="center" vertical="center"/>
    </xf>
    <xf numFmtId="0" fontId="4" fillId="0" borderId="74" xfId="0" applyFont="1" applyBorder="1" applyAlignment="1" applyProtection="1">
      <alignment horizontal="center" vertical="center"/>
    </xf>
    <xf numFmtId="0" fontId="4" fillId="0" borderId="74" xfId="0" applyFont="1" applyBorder="1" applyAlignment="1" applyProtection="1">
      <alignment horizontal="center" vertical="center" wrapText="1"/>
    </xf>
    <xf numFmtId="165" fontId="4" fillId="0" borderId="41" xfId="1" applyNumberFormat="1" applyFont="1" applyBorder="1" applyAlignment="1" applyProtection="1">
      <alignment vertical="center"/>
    </xf>
    <xf numFmtId="9" fontId="4" fillId="0" borderId="74" xfId="14" applyFont="1" applyBorder="1" applyAlignment="1" applyProtection="1">
      <alignment horizontal="center" vertical="center"/>
    </xf>
    <xf numFmtId="0" fontId="6" fillId="0" borderId="0" xfId="0" applyFont="1" applyProtection="1"/>
    <xf numFmtId="0" fontId="4" fillId="0" borderId="5" xfId="0" applyFont="1" applyBorder="1" applyAlignment="1" applyProtection="1">
      <alignment vertical="center"/>
    </xf>
    <xf numFmtId="0" fontId="4" fillId="0" borderId="21" xfId="0" applyFont="1" applyBorder="1" applyAlignment="1" applyProtection="1">
      <alignment vertical="center"/>
    </xf>
    <xf numFmtId="0" fontId="7" fillId="0" borderId="27" xfId="0" applyFont="1" applyBorder="1" applyAlignment="1" applyProtection="1">
      <alignment vertical="center"/>
    </xf>
    <xf numFmtId="0" fontId="7" fillId="0" borderId="26" xfId="0" applyFont="1" applyBorder="1" applyAlignment="1" applyProtection="1">
      <alignment vertical="center"/>
    </xf>
    <xf numFmtId="165" fontId="7" fillId="0" borderId="39" xfId="0" applyNumberFormat="1" applyFont="1" applyBorder="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4" fillId="0" borderId="6" xfId="0" applyFont="1" applyBorder="1" applyAlignment="1" applyProtection="1">
      <alignment vertical="center"/>
    </xf>
    <xf numFmtId="0" fontId="6" fillId="0" borderId="6"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165" fontId="7" fillId="0" borderId="0" xfId="0" applyNumberFormat="1" applyFont="1" applyBorder="1" applyAlignment="1" applyProtection="1">
      <alignment horizontal="center" vertical="center"/>
    </xf>
    <xf numFmtId="0" fontId="28" fillId="0" borderId="0" xfId="0" applyFont="1" applyProtection="1"/>
    <xf numFmtId="0" fontId="6" fillId="0" borderId="0" xfId="0" applyFont="1" applyFill="1" applyProtection="1"/>
    <xf numFmtId="0" fontId="28" fillId="0" borderId="0" xfId="0" applyFont="1" applyAlignment="1" applyProtection="1">
      <alignment vertical="center"/>
    </xf>
    <xf numFmtId="0" fontId="28" fillId="0" borderId="0" xfId="0" applyFont="1" applyFill="1" applyProtection="1"/>
    <xf numFmtId="165" fontId="7" fillId="4" borderId="38" xfId="1" applyNumberFormat="1" applyFont="1" applyFill="1" applyBorder="1" applyAlignment="1" applyProtection="1">
      <alignment vertical="center"/>
      <protection locked="0"/>
    </xf>
    <xf numFmtId="0" fontId="4" fillId="0" borderId="43" xfId="0" applyFont="1" applyFill="1" applyBorder="1" applyAlignment="1" applyProtection="1">
      <alignment vertical="center"/>
    </xf>
    <xf numFmtId="0" fontId="4" fillId="0" borderId="0" xfId="0" applyFont="1" applyBorder="1" applyAlignment="1" applyProtection="1">
      <alignment vertical="center" wrapText="1"/>
    </xf>
    <xf numFmtId="165" fontId="7" fillId="0" borderId="40" xfId="1" applyNumberFormat="1" applyFont="1" applyFill="1" applyBorder="1" applyAlignment="1" applyProtection="1">
      <alignment vertical="center"/>
    </xf>
    <xf numFmtId="9" fontId="4" fillId="0" borderId="0" xfId="0" applyNumberFormat="1" applyFont="1" applyAlignment="1" applyProtection="1">
      <alignment vertical="center"/>
    </xf>
    <xf numFmtId="9" fontId="4" fillId="0" borderId="0" xfId="0" applyNumberFormat="1" applyFont="1" applyProtection="1"/>
    <xf numFmtId="10" fontId="7" fillId="0" borderId="41" xfId="0" applyNumberFormat="1" applyFont="1" applyBorder="1" applyAlignment="1" applyProtection="1">
      <alignment horizontal="center" vertical="center"/>
    </xf>
    <xf numFmtId="0" fontId="4" fillId="0" borderId="0" xfId="0" applyFont="1" applyBorder="1" applyAlignment="1" applyProtection="1">
      <alignment vertical="top" wrapText="1"/>
    </xf>
    <xf numFmtId="0" fontId="15" fillId="0" borderId="0" xfId="0" applyFont="1" applyAlignment="1" applyProtection="1">
      <alignment horizontal="center" vertical="center" wrapText="1"/>
    </xf>
    <xf numFmtId="171" fontId="4" fillId="0" borderId="41" xfId="0" applyNumberFormat="1" applyFont="1" applyBorder="1" applyAlignment="1" applyProtection="1">
      <alignment horizontal="center" vertical="center"/>
    </xf>
    <xf numFmtId="2" fontId="4" fillId="0" borderId="41" xfId="1" applyNumberFormat="1" applyFont="1" applyBorder="1" applyAlignment="1" applyProtection="1">
      <alignment horizontal="center" vertical="center"/>
    </xf>
    <xf numFmtId="171" fontId="7" fillId="0" borderId="41" xfId="14" quotePrefix="1" applyNumberFormat="1" applyFont="1" applyFill="1" applyBorder="1" applyAlignment="1" applyProtection="1">
      <alignment horizontal="center" vertical="center"/>
    </xf>
    <xf numFmtId="0" fontId="4" fillId="4" borderId="36"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4" fillId="4" borderId="87"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43" fontId="4" fillId="4" borderId="37" xfId="1" applyFont="1" applyFill="1" applyBorder="1" applyAlignment="1" applyProtection="1">
      <alignment horizontal="center" vertical="center"/>
      <protection locked="0"/>
    </xf>
    <xf numFmtId="43" fontId="4" fillId="4" borderId="38" xfId="1" applyFont="1" applyFill="1" applyBorder="1" applyAlignment="1" applyProtection="1">
      <alignment horizontal="center" vertical="center"/>
      <protection locked="0"/>
    </xf>
    <xf numFmtId="0" fontId="0" fillId="0" borderId="6" xfId="0" applyBorder="1" applyAlignment="1" applyProtection="1"/>
    <xf numFmtId="0" fontId="0" fillId="0" borderId="30" xfId="0" applyBorder="1" applyAlignment="1" applyProtection="1"/>
    <xf numFmtId="0" fontId="7" fillId="0" borderId="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4" fillId="0" borderId="24" xfId="0" applyFont="1" applyFill="1" applyBorder="1" applyAlignment="1" applyProtection="1">
      <alignment horizontal="left" vertical="center"/>
    </xf>
    <xf numFmtId="0" fontId="0" fillId="0" borderId="6" xfId="0" applyBorder="1" applyAlignment="1" applyProtection="1">
      <alignment vertical="center"/>
    </xf>
    <xf numFmtId="0" fontId="0" fillId="0" borderId="30" xfId="0" applyBorder="1" applyAlignment="1" applyProtection="1">
      <alignment vertical="center"/>
    </xf>
    <xf numFmtId="0" fontId="4" fillId="0" borderId="1" xfId="0" applyFont="1" applyFill="1" applyBorder="1" applyAlignment="1" applyProtection="1">
      <alignment vertical="center"/>
    </xf>
    <xf numFmtId="0" fontId="0" fillId="0" borderId="20" xfId="0" applyBorder="1" applyAlignment="1" applyProtection="1">
      <alignment vertical="center"/>
    </xf>
    <xf numFmtId="0" fontId="7" fillId="0" borderId="20" xfId="0" applyFont="1" applyFill="1" applyBorder="1" applyAlignment="1" applyProtection="1">
      <alignment vertical="center"/>
    </xf>
    <xf numFmtId="0" fontId="4" fillId="0" borderId="20" xfId="0" applyFont="1" applyBorder="1" applyAlignment="1" applyProtection="1">
      <alignment vertical="center"/>
    </xf>
    <xf numFmtId="0" fontId="4" fillId="0" borderId="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41" xfId="0" applyFont="1" applyFill="1" applyBorder="1" applyAlignment="1" applyProtection="1">
      <alignment vertical="center"/>
    </xf>
    <xf numFmtId="0" fontId="7" fillId="0" borderId="7" xfId="0" applyFont="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26" xfId="0" applyFont="1" applyBorder="1" applyAlignment="1" applyProtection="1">
      <alignment horizontal="left" vertical="center"/>
    </xf>
    <xf numFmtId="0" fontId="5" fillId="0" borderId="21" xfId="0" applyFont="1" applyBorder="1" applyAlignment="1" applyProtection="1">
      <alignment horizontal="center" vertical="center"/>
    </xf>
    <xf numFmtId="0" fontId="11" fillId="0" borderId="0" xfId="0" applyFont="1" applyFill="1" applyBorder="1" applyAlignment="1" applyProtection="1">
      <alignment horizontal="left"/>
    </xf>
    <xf numFmtId="0" fontId="4" fillId="0" borderId="4"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165" fontId="4" fillId="2" borderId="37" xfId="1" applyNumberFormat="1" applyFont="1" applyFill="1" applyBorder="1" applyAlignment="1" applyProtection="1">
      <alignment vertical="center"/>
    </xf>
    <xf numFmtId="165" fontId="4" fillId="2" borderId="38" xfId="1" applyNumberFormat="1" applyFont="1" applyFill="1" applyBorder="1" applyAlignment="1" applyProtection="1">
      <alignment vertical="center"/>
    </xf>
    <xf numFmtId="165" fontId="4" fillId="2" borderId="36" xfId="1" applyNumberFormat="1" applyFont="1" applyFill="1" applyBorder="1" applyAlignment="1" applyProtection="1">
      <alignment vertical="center"/>
    </xf>
    <xf numFmtId="0" fontId="5" fillId="0" borderId="20" xfId="0" applyFont="1" applyFill="1" applyBorder="1" applyAlignment="1" applyProtection="1">
      <alignment horizontal="left" vertical="center"/>
    </xf>
    <xf numFmtId="0" fontId="4" fillId="0" borderId="0" xfId="0" applyFont="1" applyFill="1" applyBorder="1" applyAlignment="1" applyProtection="1">
      <alignment vertical="center"/>
    </xf>
    <xf numFmtId="165" fontId="4" fillId="2" borderId="42" xfId="1" applyNumberFormat="1" applyFont="1" applyFill="1" applyBorder="1" applyAlignment="1" applyProtection="1">
      <alignment vertical="center"/>
    </xf>
    <xf numFmtId="165" fontId="4" fillId="2" borderId="40" xfId="1" applyNumberFormat="1" applyFont="1" applyFill="1" applyBorder="1" applyAlignment="1" applyProtection="1">
      <alignment vertical="center"/>
    </xf>
    <xf numFmtId="0" fontId="4" fillId="0" borderId="20" xfId="0" applyFont="1" applyFill="1" applyBorder="1" applyAlignment="1" applyProtection="1">
      <alignment vertical="center"/>
    </xf>
    <xf numFmtId="0" fontId="7" fillId="0" borderId="41" xfId="0" applyFont="1" applyBorder="1" applyAlignment="1" applyProtection="1">
      <alignment horizontal="center" vertical="center" wrapText="1"/>
    </xf>
    <xf numFmtId="165" fontId="4" fillId="4" borderId="21" xfId="1" applyNumberFormat="1" applyFont="1" applyFill="1" applyBorder="1" applyAlignment="1" applyProtection="1">
      <alignment horizontal="center" vertical="center"/>
      <protection locked="0"/>
    </xf>
    <xf numFmtId="165" fontId="4" fillId="0" borderId="44" xfId="1" applyNumberFormat="1" applyFont="1" applyFill="1" applyBorder="1" applyAlignment="1" applyProtection="1">
      <alignment horizontal="right" vertical="center"/>
    </xf>
    <xf numFmtId="0" fontId="4" fillId="0" borderId="17" xfId="0" applyFont="1" applyFill="1" applyBorder="1" applyAlignment="1" applyProtection="1">
      <alignment horizontal="left" vertical="top" wrapText="1"/>
    </xf>
    <xf numFmtId="0" fontId="4" fillId="0" borderId="4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4" fillId="0" borderId="38" xfId="0" applyFont="1" applyFill="1" applyBorder="1" applyAlignment="1" applyProtection="1">
      <alignment horizontal="left" vertical="center"/>
    </xf>
    <xf numFmtId="0" fontId="8" fillId="0" borderId="0" xfId="0" applyFont="1" applyFill="1" applyAlignment="1" applyProtection="1">
      <alignment vertical="center"/>
    </xf>
    <xf numFmtId="0" fontId="9" fillId="0" borderId="41"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8" fillId="0" borderId="20" xfId="0" applyFont="1" applyFill="1" applyBorder="1" applyAlignment="1" applyProtection="1">
      <alignment vertical="center"/>
    </xf>
    <xf numFmtId="0" fontId="14" fillId="0" borderId="0" xfId="0" applyFont="1" applyProtection="1"/>
    <xf numFmtId="165" fontId="4" fillId="2" borderId="37" xfId="1" applyNumberFormat="1" applyFont="1" applyFill="1" applyBorder="1" applyAlignment="1" applyProtection="1">
      <alignment vertical="center"/>
    </xf>
    <xf numFmtId="0" fontId="12" fillId="0" borderId="0" xfId="0" applyFont="1" applyProtection="1"/>
    <xf numFmtId="0" fontId="12" fillId="0" borderId="0" xfId="0" applyFont="1" applyAlignment="1" applyProtection="1">
      <alignment vertical="center"/>
    </xf>
    <xf numFmtId="0" fontId="8" fillId="0" borderId="0" xfId="0" applyFont="1" applyFill="1" applyBorder="1" applyAlignment="1" applyProtection="1">
      <alignment vertical="center" wrapText="1"/>
    </xf>
    <xf numFmtId="2" fontId="8" fillId="0" borderId="0" xfId="0" applyNumberFormat="1" applyFont="1" applyFill="1" applyBorder="1" applyAlignment="1" applyProtection="1">
      <alignment vertical="center" wrapText="1"/>
    </xf>
    <xf numFmtId="0" fontId="4" fillId="0" borderId="29" xfId="0" applyFont="1" applyFill="1" applyBorder="1" applyAlignment="1" applyProtection="1">
      <alignment horizontal="left" vertical="center"/>
    </xf>
    <xf numFmtId="0" fontId="4" fillId="0" borderId="42" xfId="0" applyFont="1" applyBorder="1" applyAlignment="1" applyProtection="1">
      <alignment vertical="center"/>
    </xf>
    <xf numFmtId="165" fontId="4" fillId="4" borderId="33" xfId="1" applyNumberFormat="1" applyFont="1" applyFill="1" applyBorder="1" applyAlignment="1" applyProtection="1">
      <alignment horizontal="center" vertical="center"/>
      <protection locked="0"/>
    </xf>
    <xf numFmtId="0" fontId="4" fillId="0" borderId="39" xfId="0" applyFont="1" applyBorder="1" applyAlignment="1" applyProtection="1">
      <alignment vertical="center"/>
    </xf>
    <xf numFmtId="165" fontId="8" fillId="0" borderId="38" xfId="1" applyNumberFormat="1" applyFont="1" applyFill="1" applyBorder="1" applyAlignment="1" applyProtection="1">
      <alignment vertical="center"/>
    </xf>
    <xf numFmtId="165" fontId="8" fillId="0" borderId="37" xfId="1" applyNumberFormat="1" applyFont="1" applyFill="1" applyBorder="1" applyAlignment="1" applyProtection="1">
      <alignment vertical="center"/>
    </xf>
    <xf numFmtId="165" fontId="4" fillId="0" borderId="44" xfId="1" applyNumberFormat="1" applyFont="1" applyFill="1" applyBorder="1" applyAlignment="1" applyProtection="1">
      <alignment horizontal="right" vertical="center"/>
    </xf>
    <xf numFmtId="0" fontId="4" fillId="0" borderId="44" xfId="0" applyFont="1" applyFill="1" applyBorder="1" applyAlignment="1" applyProtection="1">
      <alignment horizontal="left" vertical="center" wrapText="1"/>
    </xf>
    <xf numFmtId="43" fontId="9" fillId="4" borderId="44" xfId="1" applyFont="1" applyFill="1" applyBorder="1" applyAlignment="1" applyProtection="1">
      <alignment horizontal="center" vertical="center"/>
      <protection locked="0"/>
    </xf>
    <xf numFmtId="43" fontId="9" fillId="4" borderId="4" xfId="1" applyFont="1" applyFill="1" applyBorder="1" applyAlignment="1" applyProtection="1">
      <alignment horizontal="center" vertical="center"/>
      <protection locked="0"/>
    </xf>
    <xf numFmtId="43" fontId="9" fillId="4" borderId="22" xfId="1" applyFont="1" applyFill="1" applyBorder="1" applyAlignment="1" applyProtection="1">
      <alignment horizontal="center" vertical="center"/>
      <protection locked="0"/>
    </xf>
    <xf numFmtId="43" fontId="8" fillId="4" borderId="37" xfId="1" applyFont="1" applyFill="1" applyBorder="1" applyAlignment="1" applyProtection="1">
      <alignment horizontal="center" vertical="center"/>
      <protection locked="0"/>
    </xf>
    <xf numFmtId="43" fontId="8" fillId="4" borderId="38" xfId="1" applyFont="1" applyFill="1" applyBorder="1" applyAlignment="1" applyProtection="1">
      <alignment horizontal="center" vertical="center"/>
      <protection locked="0"/>
    </xf>
    <xf numFmtId="165" fontId="9" fillId="0" borderId="37" xfId="1" applyNumberFormat="1" applyFont="1" applyFill="1" applyBorder="1" applyAlignment="1" applyProtection="1">
      <alignment horizontal="center" vertical="center"/>
    </xf>
    <xf numFmtId="165" fontId="9" fillId="0" borderId="38" xfId="1" applyNumberFormat="1" applyFont="1" applyFill="1" applyBorder="1" applyAlignment="1" applyProtection="1">
      <alignment horizontal="center" vertical="center"/>
    </xf>
    <xf numFmtId="43" fontId="9" fillId="2" borderId="37" xfId="1" applyFont="1" applyFill="1" applyBorder="1" applyAlignment="1" applyProtection="1">
      <alignment horizontal="center" vertical="center"/>
    </xf>
    <xf numFmtId="43" fontId="4" fillId="4" borderId="41" xfId="1" applyFont="1" applyFill="1" applyBorder="1" applyAlignment="1" applyProtection="1">
      <alignment horizontal="center" vertical="center"/>
      <protection locked="0"/>
    </xf>
    <xf numFmtId="43" fontId="4" fillId="4" borderId="21" xfId="1" applyFont="1" applyFill="1" applyBorder="1" applyAlignment="1" applyProtection="1">
      <alignment horizontal="center" vertical="center"/>
      <protection locked="0"/>
    </xf>
    <xf numFmtId="168" fontId="4" fillId="4" borderId="17" xfId="0" applyNumberFormat="1" applyFont="1" applyFill="1" applyBorder="1" applyAlignment="1" applyProtection="1">
      <alignment horizontal="center" vertical="center"/>
      <protection locked="0"/>
    </xf>
    <xf numFmtId="168" fontId="4" fillId="4" borderId="35" xfId="0" applyNumberFormat="1" applyFont="1" applyFill="1" applyBorder="1" applyAlignment="1" applyProtection="1">
      <alignment horizontal="center" vertical="center"/>
      <protection locked="0"/>
    </xf>
    <xf numFmtId="43" fontId="4" fillId="4" borderId="16" xfId="1" applyFont="1" applyFill="1" applyBorder="1" applyAlignment="1" applyProtection="1">
      <alignment horizontal="center" vertical="center"/>
      <protection locked="0"/>
    </xf>
    <xf numFmtId="43" fontId="4" fillId="4" borderId="17" xfId="1" applyFont="1" applyFill="1" applyBorder="1" applyAlignment="1" applyProtection="1">
      <alignment horizontal="center" vertical="center"/>
      <protection locked="0"/>
    </xf>
    <xf numFmtId="43" fontId="4" fillId="4" borderId="35" xfId="1" applyFont="1" applyFill="1" applyBorder="1" applyAlignment="1" applyProtection="1">
      <alignment horizontal="center" vertical="center"/>
      <protection locked="0"/>
    </xf>
    <xf numFmtId="43" fontId="4" fillId="4" borderId="32" xfId="1" applyFont="1" applyFill="1" applyBorder="1" applyAlignment="1" applyProtection="1">
      <alignment horizontal="center" vertical="center"/>
      <protection locked="0"/>
    </xf>
    <xf numFmtId="165" fontId="4" fillId="2" borderId="36" xfId="1" applyNumberFormat="1" applyFont="1" applyFill="1" applyBorder="1" applyAlignment="1" applyProtection="1">
      <alignment horizontal="right" vertical="center"/>
    </xf>
    <xf numFmtId="43" fontId="4" fillId="4" borderId="36" xfId="1" quotePrefix="1" applyFont="1" applyFill="1" applyBorder="1" applyAlignment="1" applyProtection="1">
      <alignment horizontal="right" vertical="center"/>
      <protection locked="0"/>
    </xf>
    <xf numFmtId="43" fontId="4" fillId="4" borderId="37" xfId="1" applyFont="1" applyFill="1" applyBorder="1" applyAlignment="1" applyProtection="1">
      <alignment horizontal="right" vertical="center"/>
      <protection locked="0"/>
    </xf>
    <xf numFmtId="10" fontId="4" fillId="4" borderId="41" xfId="14" applyNumberFormat="1" applyFont="1" applyFill="1" applyBorder="1" applyAlignment="1" applyProtection="1">
      <alignment horizontal="center" vertical="center"/>
      <protection locked="0"/>
    </xf>
    <xf numFmtId="10" fontId="4" fillId="4" borderId="41" xfId="14" quotePrefix="1" applyNumberFormat="1" applyFont="1" applyFill="1" applyBorder="1" applyAlignment="1" applyProtection="1">
      <alignment horizontal="center" vertical="center"/>
      <protection locked="0"/>
    </xf>
    <xf numFmtId="10" fontId="15" fillId="0" borderId="0" xfId="0" applyNumberFormat="1" applyFont="1" applyAlignment="1" applyProtection="1">
      <alignment horizontal="center"/>
    </xf>
    <xf numFmtId="9" fontId="4" fillId="0" borderId="74" xfId="14" quotePrefix="1" applyFont="1" applyBorder="1" applyAlignment="1" applyProtection="1">
      <alignment horizontal="center" vertical="center"/>
    </xf>
    <xf numFmtId="0" fontId="7" fillId="0" borderId="37"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0" xfId="0" applyFont="1" applyFill="1" applyBorder="1" applyAlignment="1" applyProtection="1">
      <alignment vertical="center"/>
    </xf>
    <xf numFmtId="0" fontId="4" fillId="0" borderId="24" xfId="0" applyFont="1" applyFill="1" applyBorder="1" applyAlignment="1" applyProtection="1">
      <alignment horizontal="left" vertical="center"/>
    </xf>
    <xf numFmtId="0" fontId="7" fillId="0" borderId="7" xfId="0" applyFont="1" applyFill="1" applyBorder="1" applyAlignment="1" applyProtection="1">
      <alignment vertical="center"/>
    </xf>
    <xf numFmtId="0" fontId="7" fillId="0" borderId="41" xfId="0" applyFont="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xf>
    <xf numFmtId="0" fontId="9" fillId="0" borderId="41" xfId="0" applyFont="1" applyFill="1" applyBorder="1" applyAlignment="1" applyProtection="1">
      <alignment horizontal="center" vertical="center" wrapText="1"/>
    </xf>
    <xf numFmtId="0" fontId="4" fillId="0" borderId="36" xfId="0" applyFont="1" applyFill="1" applyBorder="1" applyAlignment="1" applyProtection="1">
      <alignment horizontal="left" vertical="center"/>
    </xf>
    <xf numFmtId="0" fontId="4" fillId="0" borderId="37" xfId="0" applyFont="1" applyBorder="1" applyAlignment="1">
      <alignment horizontal="left" vertical="center"/>
    </xf>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0" fontId="4" fillId="0" borderId="42" xfId="0" applyFont="1" applyFill="1" applyBorder="1" applyAlignment="1" applyProtection="1">
      <alignment horizontal="center" vertical="center" wrapText="1"/>
    </xf>
    <xf numFmtId="0" fontId="4" fillId="0" borderId="38" xfId="0" applyFont="1" applyFill="1" applyBorder="1" applyAlignment="1" applyProtection="1">
      <alignment horizontal="left" vertical="center" wrapText="1"/>
    </xf>
    <xf numFmtId="0" fontId="12" fillId="0" borderId="15" xfId="0" applyFont="1" applyFill="1" applyBorder="1" applyAlignment="1" applyProtection="1">
      <alignment vertical="top"/>
    </xf>
    <xf numFmtId="0" fontId="8" fillId="0" borderId="16" xfId="0" applyFont="1" applyFill="1" applyBorder="1" applyAlignment="1" applyProtection="1">
      <alignment vertical="top"/>
    </xf>
    <xf numFmtId="0" fontId="12" fillId="0" borderId="11" xfId="0" applyFont="1" applyFill="1" applyBorder="1" applyAlignment="1" applyProtection="1">
      <alignment horizontal="center" vertical="top"/>
    </xf>
    <xf numFmtId="0" fontId="12" fillId="0" borderId="14" xfId="0" applyFont="1" applyFill="1" applyBorder="1" applyAlignment="1" applyProtection="1">
      <alignment vertical="top"/>
    </xf>
    <xf numFmtId="0" fontId="8" fillId="0" borderId="17" xfId="0" applyFont="1" applyFill="1" applyBorder="1" applyAlignment="1" applyProtection="1">
      <alignment vertical="top"/>
    </xf>
    <xf numFmtId="0" fontId="12" fillId="0" borderId="17" xfId="0" applyFont="1" applyFill="1" applyBorder="1" applyAlignment="1" applyProtection="1">
      <alignment vertical="top"/>
    </xf>
    <xf numFmtId="0" fontId="12" fillId="0" borderId="4" xfId="0" applyFont="1" applyFill="1" applyBorder="1" applyAlignment="1" applyProtection="1">
      <alignment vertical="top"/>
    </xf>
    <xf numFmtId="0" fontId="12" fillId="0" borderId="24" xfId="0" applyFont="1" applyFill="1" applyBorder="1" applyAlignment="1" applyProtection="1">
      <alignment vertical="top"/>
    </xf>
    <xf numFmtId="0" fontId="8" fillId="0" borderId="19" xfId="0" applyFont="1" applyFill="1" applyBorder="1" applyAlignment="1" applyProtection="1">
      <alignment vertical="top"/>
    </xf>
    <xf numFmtId="0" fontId="14" fillId="0" borderId="11" xfId="0" applyFont="1" applyFill="1" applyBorder="1" applyAlignment="1" applyProtection="1">
      <alignment vertical="top"/>
    </xf>
    <xf numFmtId="0" fontId="14" fillId="0" borderId="20" xfId="0" applyFont="1" applyFill="1" applyBorder="1" applyAlignment="1" applyProtection="1">
      <alignment vertical="top"/>
    </xf>
    <xf numFmtId="0" fontId="8" fillId="0" borderId="21" xfId="0" applyFont="1" applyFill="1" applyBorder="1" applyAlignment="1" applyProtection="1">
      <alignment vertical="top"/>
    </xf>
    <xf numFmtId="0" fontId="14" fillId="0" borderId="15" xfId="0" applyFont="1" applyFill="1" applyBorder="1" applyAlignment="1" applyProtection="1">
      <alignment vertical="top"/>
    </xf>
    <xf numFmtId="0" fontId="12" fillId="0" borderId="31" xfId="0" applyFont="1" applyFill="1" applyBorder="1" applyAlignment="1" applyProtection="1">
      <alignment vertical="top"/>
    </xf>
    <xf numFmtId="0" fontId="8" fillId="0" borderId="32" xfId="0" applyFont="1" applyFill="1" applyBorder="1" applyAlignment="1" applyProtection="1">
      <alignment vertical="top"/>
    </xf>
    <xf numFmtId="0" fontId="12" fillId="0" borderId="7" xfId="0" applyFont="1" applyFill="1" applyBorder="1" applyAlignment="1" applyProtection="1">
      <alignment vertical="top"/>
    </xf>
    <xf numFmtId="0" fontId="12" fillId="0" borderId="27" xfId="0" applyFont="1" applyFill="1" applyBorder="1" applyAlignment="1" applyProtection="1">
      <alignment vertical="top"/>
    </xf>
    <xf numFmtId="0" fontId="12" fillId="0" borderId="13" xfId="0" applyFont="1" applyFill="1" applyBorder="1" applyAlignment="1" applyProtection="1">
      <alignment vertical="top"/>
    </xf>
    <xf numFmtId="0" fontId="14" fillId="0" borderId="7" xfId="0" applyFont="1" applyFill="1" applyBorder="1" applyAlignment="1" applyProtection="1">
      <alignment vertical="top"/>
    </xf>
    <xf numFmtId="0" fontId="12" fillId="0" borderId="18" xfId="0" applyFont="1" applyFill="1" applyBorder="1" applyAlignment="1" applyProtection="1">
      <alignment vertical="top"/>
    </xf>
    <xf numFmtId="0" fontId="12" fillId="0" borderId="7" xfId="0" applyFont="1" applyFill="1" applyBorder="1" applyAlignment="1" applyProtection="1">
      <alignment horizontal="center" vertical="top"/>
    </xf>
    <xf numFmtId="0" fontId="12" fillId="0" borderId="38" xfId="0" applyFont="1" applyFill="1" applyBorder="1" applyAlignment="1" applyProtection="1">
      <alignment horizontal="center" vertical="top"/>
    </xf>
    <xf numFmtId="0" fontId="12" fillId="0" borderId="37" xfId="0" applyFont="1" applyFill="1" applyBorder="1" applyAlignment="1" applyProtection="1">
      <alignment horizontal="center" vertical="top"/>
    </xf>
    <xf numFmtId="0" fontId="12" fillId="0" borderId="27" xfId="0" applyFont="1" applyFill="1" applyBorder="1" applyAlignment="1" applyProtection="1">
      <alignment horizontal="center" vertical="top"/>
    </xf>
    <xf numFmtId="0" fontId="12" fillId="0" borderId="42" xfId="0" applyFont="1" applyFill="1" applyBorder="1" applyAlignment="1" applyProtection="1">
      <alignment horizontal="center" vertical="top"/>
    </xf>
    <xf numFmtId="0" fontId="12" fillId="0" borderId="38" xfId="0" applyFont="1" applyFill="1" applyBorder="1" applyAlignment="1" applyProtection="1">
      <alignment horizontal="center" vertical="top" wrapText="1"/>
    </xf>
    <xf numFmtId="0" fontId="12" fillId="0" borderId="42" xfId="0" applyFont="1" applyFill="1" applyBorder="1" applyAlignment="1" applyProtection="1">
      <alignment horizontal="center" vertical="top" wrapText="1"/>
    </xf>
    <xf numFmtId="0" fontId="4" fillId="0" borderId="24" xfId="0" applyFont="1" applyFill="1" applyBorder="1" applyAlignment="1" applyProtection="1">
      <alignment vertical="center"/>
    </xf>
    <xf numFmtId="0" fontId="4" fillId="0" borderId="19" xfId="0" applyFont="1" applyFill="1" applyBorder="1" applyAlignment="1" applyProtection="1">
      <alignment vertical="center"/>
    </xf>
    <xf numFmtId="0" fontId="7" fillId="0" borderId="21" xfId="0" applyFont="1" applyFill="1" applyBorder="1" applyAlignment="1" applyProtection="1">
      <alignment vertical="center"/>
    </xf>
    <xf numFmtId="0" fontId="7" fillId="2" borderId="41" xfId="0" applyFont="1" applyFill="1" applyBorder="1" applyAlignment="1" applyProtection="1">
      <alignment horizontal="left" vertical="center" wrapText="1"/>
    </xf>
    <xf numFmtId="0" fontId="9" fillId="2" borderId="4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0" fontId="9" fillId="2" borderId="41"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28" fillId="0" borderId="2" xfId="0" applyFont="1" applyFill="1" applyBorder="1" applyProtection="1"/>
    <xf numFmtId="0" fontId="0" fillId="0" borderId="2" xfId="0" applyFill="1" applyBorder="1" applyProtection="1"/>
    <xf numFmtId="0" fontId="28" fillId="0" borderId="8" xfId="0" applyFont="1" applyFill="1" applyBorder="1" applyAlignment="1" applyProtection="1">
      <alignment vertical="center"/>
    </xf>
    <xf numFmtId="0" fontId="28" fillId="0" borderId="12" xfId="0" applyFont="1" applyFill="1" applyBorder="1" applyProtection="1"/>
    <xf numFmtId="0" fontId="28" fillId="0" borderId="17" xfId="0" applyFont="1" applyFill="1" applyBorder="1" applyAlignment="1" applyProtection="1">
      <alignment vertical="center"/>
    </xf>
    <xf numFmtId="0" fontId="28" fillId="0" borderId="34" xfId="0" applyFont="1" applyFill="1" applyBorder="1" applyAlignment="1" applyProtection="1">
      <alignment vertical="center"/>
    </xf>
    <xf numFmtId="0" fontId="28" fillId="0" borderId="19" xfId="0" applyFont="1" applyFill="1" applyBorder="1" applyAlignment="1" applyProtection="1">
      <alignment vertical="center"/>
    </xf>
    <xf numFmtId="0" fontId="4" fillId="2" borderId="11" xfId="0" applyFont="1" applyFill="1" applyBorder="1" applyAlignment="1" applyProtection="1">
      <alignment vertical="center"/>
    </xf>
    <xf numFmtId="0" fontId="7" fillId="2" borderId="12" xfId="0" applyFont="1" applyFill="1" applyBorder="1" applyAlignment="1" applyProtection="1">
      <alignment horizontal="left" vertical="center"/>
    </xf>
    <xf numFmtId="0" fontId="7" fillId="0" borderId="41" xfId="0" applyFont="1" applyFill="1" applyBorder="1" applyAlignment="1" applyProtection="1">
      <alignment vertical="center"/>
    </xf>
    <xf numFmtId="0" fontId="7" fillId="0" borderId="21" xfId="0" applyFont="1" applyBorder="1" applyAlignment="1" applyProtection="1">
      <alignment horizontal="center" vertical="center" wrapText="1"/>
    </xf>
    <xf numFmtId="0" fontId="7" fillId="0" borderId="11" xfId="0" applyFont="1" applyFill="1" applyBorder="1" applyAlignment="1">
      <alignment horizontal="left" vertical="center"/>
    </xf>
    <xf numFmtId="0" fontId="7" fillId="0" borderId="18" xfId="0" applyFont="1" applyFill="1" applyBorder="1" applyAlignment="1">
      <alignment horizontal="left" vertical="center"/>
    </xf>
    <xf numFmtId="0" fontId="7" fillId="0" borderId="36" xfId="0" applyFont="1" applyFill="1" applyBorder="1" applyAlignment="1" applyProtection="1">
      <alignment horizontal="left" vertical="center"/>
    </xf>
    <xf numFmtId="0" fontId="9" fillId="0" borderId="0" xfId="0" applyFont="1" applyFill="1" applyBorder="1" applyAlignment="1" applyProtection="1">
      <alignment horizontal="right" vertical="center" wrapText="1"/>
    </xf>
    <xf numFmtId="0" fontId="7" fillId="0" borderId="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165" fontId="4" fillId="2" borderId="42" xfId="1" applyNumberFormat="1" applyFont="1" applyFill="1" applyBorder="1" applyAlignment="1" applyProtection="1">
      <alignment vertical="center"/>
    </xf>
    <xf numFmtId="0" fontId="7" fillId="0" borderId="21" xfId="0" applyFont="1" applyFill="1" applyBorder="1" applyAlignment="1" applyProtection="1">
      <alignment horizontal="left" vertical="center"/>
    </xf>
    <xf numFmtId="0" fontId="4" fillId="4" borderId="42" xfId="0" applyFont="1" applyFill="1" applyBorder="1" applyAlignment="1" applyProtection="1">
      <alignment horizontal="center" vertical="center" wrapText="1"/>
      <protection locked="0"/>
    </xf>
    <xf numFmtId="0" fontId="0" fillId="0" borderId="20" xfId="0" applyBorder="1" applyAlignment="1" applyProtection="1">
      <alignment vertical="center"/>
    </xf>
    <xf numFmtId="0" fontId="7" fillId="0" borderId="1" xfId="0" applyFont="1" applyFill="1" applyBorder="1" applyAlignment="1" applyProtection="1">
      <alignment horizontal="left" vertical="center"/>
    </xf>
    <xf numFmtId="0" fontId="5" fillId="0" borderId="5" xfId="0" applyFont="1" applyFill="1" applyBorder="1" applyAlignment="1" applyProtection="1">
      <alignment vertical="center"/>
    </xf>
    <xf numFmtId="0" fontId="7" fillId="0" borderId="7" xfId="0" applyFont="1" applyBorder="1" applyAlignment="1" applyProtection="1">
      <alignment vertical="center"/>
    </xf>
    <xf numFmtId="0" fontId="7" fillId="0" borderId="6" xfId="0" applyFont="1" applyBorder="1" applyAlignment="1" applyProtection="1">
      <alignment vertical="center"/>
    </xf>
    <xf numFmtId="0" fontId="4" fillId="0" borderId="0" xfId="0" applyFont="1" applyFill="1" applyBorder="1" applyAlignment="1" applyProtection="1">
      <alignment vertical="center"/>
    </xf>
    <xf numFmtId="0" fontId="5" fillId="0" borderId="21" xfId="0" applyFont="1" applyFill="1" applyBorder="1" applyAlignment="1" applyProtection="1">
      <alignment horizontal="center" vertical="center"/>
    </xf>
    <xf numFmtId="0" fontId="33" fillId="0" borderId="0" xfId="0" applyFont="1" applyFill="1" applyAlignment="1">
      <alignment vertical="center"/>
    </xf>
    <xf numFmtId="0" fontId="9" fillId="0" borderId="6" xfId="0" applyFont="1" applyFill="1" applyBorder="1" applyAlignment="1" applyProtection="1">
      <alignment vertical="center"/>
    </xf>
    <xf numFmtId="43" fontId="4" fillId="0" borderId="6" xfId="1" applyFont="1" applyFill="1" applyBorder="1" applyAlignment="1" applyProtection="1">
      <alignment vertical="center"/>
    </xf>
    <xf numFmtId="3" fontId="4" fillId="0" borderId="92" xfId="0" applyNumberFormat="1" applyFont="1" applyFill="1" applyBorder="1" applyAlignment="1" applyProtection="1">
      <alignment horizontal="right" vertical="center"/>
    </xf>
    <xf numFmtId="0" fontId="4" fillId="2" borderId="42" xfId="0" applyFont="1" applyFill="1" applyBorder="1" applyAlignment="1" applyProtection="1">
      <alignment horizontal="center" vertical="center"/>
    </xf>
    <xf numFmtId="43" fontId="4" fillId="4" borderId="42" xfId="1" applyFont="1" applyFill="1" applyBorder="1" applyAlignment="1" applyProtection="1">
      <alignment horizontal="right" vertical="center"/>
      <protection locked="0"/>
    </xf>
    <xf numFmtId="165" fontId="4" fillId="2" borderId="42" xfId="1" applyNumberFormat="1" applyFont="1" applyFill="1" applyBorder="1" applyAlignment="1" applyProtection="1">
      <alignment horizontal="right" vertical="center"/>
    </xf>
    <xf numFmtId="0" fontId="7" fillId="0" borderId="30" xfId="0" applyFont="1" applyBorder="1" applyAlignment="1" applyProtection="1">
      <alignment vertical="center"/>
    </xf>
    <xf numFmtId="0" fontId="21" fillId="0" borderId="0" xfId="0" applyFont="1" applyFill="1" applyAlignment="1" applyProtection="1"/>
    <xf numFmtId="0" fontId="21" fillId="0" borderId="0" xfId="0" applyFont="1" applyFill="1" applyAlignment="1" applyProtection="1">
      <alignment vertical="center"/>
    </xf>
    <xf numFmtId="0" fontId="37" fillId="0" borderId="0" xfId="0" applyFont="1" applyFill="1" applyAlignment="1" applyProtection="1">
      <alignment vertical="center"/>
    </xf>
    <xf numFmtId="0" fontId="36" fillId="0" borderId="0" xfId="0" applyFont="1" applyFill="1" applyAlignment="1" applyProtection="1">
      <alignment vertical="center"/>
    </xf>
    <xf numFmtId="0" fontId="17" fillId="0" borderId="0" xfId="0" applyFont="1" applyFill="1" applyAlignment="1" applyProtection="1"/>
    <xf numFmtId="0" fontId="4" fillId="0" borderId="74" xfId="0" applyFont="1" applyFill="1" applyBorder="1" applyAlignment="1" applyProtection="1">
      <alignment horizontal="center" vertical="center" wrapText="1"/>
    </xf>
    <xf numFmtId="0" fontId="7" fillId="0" borderId="40" xfId="0" applyFont="1" applyFill="1" applyBorder="1" applyAlignment="1" applyProtection="1">
      <alignment horizontal="left"/>
    </xf>
    <xf numFmtId="0" fontId="8" fillId="0" borderId="2" xfId="0" applyFont="1" applyFill="1" applyBorder="1" applyAlignment="1" applyProtection="1">
      <alignment vertical="center"/>
    </xf>
    <xf numFmtId="0" fontId="4" fillId="0" borderId="41" xfId="0" quotePrefix="1" applyFont="1" applyFill="1" applyBorder="1" applyProtection="1"/>
    <xf numFmtId="0" fontId="4" fillId="0" borderId="0" xfId="0" applyFont="1" applyFill="1" applyBorder="1" applyAlignment="1" applyProtection="1">
      <alignment vertical="center"/>
    </xf>
    <xf numFmtId="0" fontId="0" fillId="0" borderId="0" xfId="0" applyFill="1"/>
    <xf numFmtId="0" fontId="0" fillId="0" borderId="0" xfId="0"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33" fillId="0" borderId="20" xfId="0" applyFont="1" applyFill="1" applyBorder="1" applyAlignment="1">
      <alignment vertical="center"/>
    </xf>
    <xf numFmtId="0" fontId="42" fillId="0" borderId="70" xfId="15" applyFill="1" applyBorder="1" applyAlignment="1">
      <alignment vertical="center"/>
    </xf>
    <xf numFmtId="0" fontId="42" fillId="0" borderId="70" xfId="15" quotePrefix="1" applyFill="1" applyBorder="1" applyAlignment="1">
      <alignment vertical="center"/>
    </xf>
    <xf numFmtId="0" fontId="0" fillId="0" borderId="26" xfId="0" applyFill="1" applyBorder="1" applyAlignment="1">
      <alignment vertical="center"/>
    </xf>
    <xf numFmtId="0" fontId="0" fillId="0" borderId="2" xfId="0" applyFill="1" applyBorder="1" applyAlignment="1">
      <alignment vertical="center"/>
    </xf>
    <xf numFmtId="0" fontId="33" fillId="0" borderId="2" xfId="0" applyFont="1" applyFill="1" applyBorder="1" applyAlignment="1">
      <alignment vertical="center"/>
    </xf>
    <xf numFmtId="0" fontId="28" fillId="0" borderId="50" xfId="0" applyFont="1" applyFill="1" applyBorder="1" applyAlignment="1">
      <alignment vertical="center"/>
    </xf>
    <xf numFmtId="0" fontId="0" fillId="0" borderId="17" xfId="0" applyFill="1" applyBorder="1" applyAlignment="1">
      <alignment vertical="center"/>
    </xf>
    <xf numFmtId="0" fontId="0" fillId="0" borderId="14" xfId="0" applyFill="1" applyBorder="1" applyAlignment="1">
      <alignment vertical="center"/>
    </xf>
    <xf numFmtId="0" fontId="33" fillId="0" borderId="14" xfId="0" applyFont="1" applyFill="1" applyBorder="1" applyAlignment="1">
      <alignment vertical="center"/>
    </xf>
    <xf numFmtId="0" fontId="28" fillId="0" borderId="87" xfId="0" applyFont="1" applyFill="1" applyBorder="1" applyAlignment="1">
      <alignment vertical="center"/>
    </xf>
    <xf numFmtId="0" fontId="0" fillId="0" borderId="12" xfId="0" applyFill="1" applyBorder="1" applyAlignment="1">
      <alignment vertical="center"/>
    </xf>
    <xf numFmtId="0" fontId="0" fillId="0" borderId="3" xfId="0" applyFill="1" applyBorder="1" applyAlignment="1">
      <alignment vertical="center"/>
    </xf>
    <xf numFmtId="0" fontId="33" fillId="0" borderId="3" xfId="0" applyFont="1" applyFill="1" applyBorder="1" applyAlignment="1">
      <alignment vertical="center"/>
    </xf>
    <xf numFmtId="0" fontId="33" fillId="0" borderId="3" xfId="0" applyFont="1" applyFill="1" applyBorder="1" applyAlignment="1" applyProtection="1">
      <alignment vertical="center"/>
    </xf>
    <xf numFmtId="0" fontId="42" fillId="0" borderId="93" xfId="15" quotePrefix="1" applyFill="1" applyBorder="1" applyAlignment="1">
      <alignment vertical="center"/>
    </xf>
    <xf numFmtId="0" fontId="33" fillId="0" borderId="2" xfId="0" applyFont="1" applyFill="1" applyBorder="1" applyAlignment="1" applyProtection="1">
      <alignment vertical="center"/>
    </xf>
    <xf numFmtId="0" fontId="33" fillId="0" borderId="14" xfId="0" applyFont="1" applyFill="1" applyBorder="1" applyAlignment="1" applyProtection="1">
      <alignment vertical="center"/>
    </xf>
    <xf numFmtId="0" fontId="42" fillId="0" borderId="87" xfId="15" quotePrefix="1" applyFill="1" applyBorder="1" applyAlignment="1">
      <alignment vertical="center"/>
    </xf>
    <xf numFmtId="0" fontId="0" fillId="0" borderId="27" xfId="0" applyBorder="1" applyAlignment="1">
      <alignment vertical="center"/>
    </xf>
    <xf numFmtId="0" fontId="42" fillId="0" borderId="93" xfId="15" applyFill="1" applyBorder="1" applyAlignment="1">
      <alignment vertical="center"/>
    </xf>
    <xf numFmtId="0" fontId="11" fillId="0" borderId="20" xfId="0" applyFont="1" applyFill="1" applyBorder="1" applyAlignment="1">
      <alignment vertical="center"/>
    </xf>
    <xf numFmtId="0" fontId="11" fillId="0" borderId="70" xfId="0" applyFont="1" applyFill="1" applyBorder="1" applyAlignment="1">
      <alignment vertical="center" wrapText="1"/>
    </xf>
    <xf numFmtId="0" fontId="6" fillId="0" borderId="0" xfId="0" applyFont="1" applyFill="1"/>
    <xf numFmtId="0" fontId="0" fillId="0" borderId="30" xfId="0" applyFill="1" applyBorder="1" applyAlignment="1">
      <alignment vertical="center"/>
    </xf>
    <xf numFmtId="0" fontId="0" fillId="0" borderId="6" xfId="0" applyFill="1" applyBorder="1" applyAlignment="1">
      <alignment vertical="center"/>
    </xf>
    <xf numFmtId="0" fontId="6" fillId="0" borderId="7" xfId="0" applyFont="1" applyFill="1" applyBorder="1" applyAlignment="1">
      <alignment vertical="center"/>
    </xf>
    <xf numFmtId="0" fontId="42" fillId="0" borderId="1" xfId="15" applyFill="1" applyBorder="1"/>
    <xf numFmtId="0" fontId="0" fillId="0" borderId="35" xfId="0" applyFill="1" applyBorder="1" applyAlignment="1">
      <alignment vertical="center"/>
    </xf>
    <xf numFmtId="0" fontId="0" fillId="0" borderId="0" xfId="0" applyFill="1" applyBorder="1" applyAlignment="1">
      <alignment vertical="center"/>
    </xf>
    <xf numFmtId="0" fontId="42" fillId="0" borderId="27" xfId="15" applyFill="1" applyBorder="1"/>
    <xf numFmtId="0" fontId="0" fillId="0" borderId="21" xfId="0" applyFill="1" applyBorder="1"/>
    <xf numFmtId="0" fontId="0" fillId="0" borderId="20" xfId="0" applyFill="1" applyBorder="1"/>
    <xf numFmtId="0" fontId="5" fillId="0" borderId="5" xfId="0" applyFont="1" applyFill="1" applyBorder="1" applyAlignment="1">
      <alignment vertical="center"/>
    </xf>
    <xf numFmtId="0" fontId="43" fillId="0" borderId="0" xfId="0" applyFont="1" applyFill="1" applyAlignment="1" applyProtection="1"/>
    <xf numFmtId="0" fontId="44" fillId="0" borderId="0" xfId="0" applyFont="1" applyFill="1" applyAlignment="1" applyProtection="1">
      <alignment vertical="center"/>
    </xf>
    <xf numFmtId="165" fontId="45" fillId="0" borderId="0" xfId="1" applyNumberFormat="1" applyFont="1" applyFill="1" applyAlignment="1" applyProtection="1">
      <alignment vertical="top"/>
    </xf>
    <xf numFmtId="0" fontId="45" fillId="0" borderId="0" xfId="0" applyFont="1" applyFill="1" applyAlignment="1" applyProtection="1">
      <alignment vertical="top"/>
    </xf>
    <xf numFmtId="0" fontId="43" fillId="0" borderId="0" xfId="0" applyFont="1" applyFill="1" applyProtection="1"/>
    <xf numFmtId="0" fontId="46" fillId="0" borderId="0" xfId="0" applyFont="1" applyFill="1" applyAlignment="1" applyProtection="1">
      <alignment horizontal="center" vertical="center"/>
    </xf>
    <xf numFmtId="165" fontId="45" fillId="0" borderId="0" xfId="0" applyNumberFormat="1" applyFont="1" applyFill="1" applyBorder="1" applyAlignment="1" applyProtection="1"/>
    <xf numFmtId="0" fontId="45" fillId="0" borderId="0" xfId="0" applyFont="1" applyFill="1" applyAlignment="1" applyProtection="1">
      <alignment horizontal="left"/>
    </xf>
    <xf numFmtId="0" fontId="45" fillId="0" borderId="0" xfId="0" applyFont="1" applyFill="1" applyAlignment="1" applyProtection="1">
      <alignment vertical="center"/>
    </xf>
    <xf numFmtId="165" fontId="45" fillId="0" borderId="0" xfId="0" applyNumberFormat="1" applyFont="1" applyFill="1" applyAlignment="1" applyProtection="1"/>
    <xf numFmtId="0" fontId="45" fillId="0" borderId="0" xfId="0" applyFont="1" applyFill="1" applyProtection="1"/>
    <xf numFmtId="165" fontId="45" fillId="0" borderId="0" xfId="0" applyNumberFormat="1" applyFont="1" applyFill="1" applyAlignment="1" applyProtection="1">
      <alignment vertical="center"/>
    </xf>
    <xf numFmtId="0" fontId="45"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4" fillId="0" borderId="0" xfId="0" applyFont="1" applyFill="1" applyProtection="1"/>
    <xf numFmtId="0" fontId="48" fillId="0" borderId="0" xfId="0" applyFont="1" applyFill="1" applyAlignment="1" applyProtection="1">
      <alignment horizontal="left" vertical="center"/>
    </xf>
    <xf numFmtId="0" fontId="44" fillId="0" borderId="0" xfId="0" applyFont="1" applyFill="1" applyBorder="1" applyAlignment="1" applyProtection="1">
      <alignment vertical="center"/>
    </xf>
    <xf numFmtId="0" fontId="44" fillId="0" borderId="0" xfId="0" applyFont="1" applyFill="1" applyAlignment="1" applyProtection="1">
      <alignment horizontal="left" vertical="center"/>
    </xf>
    <xf numFmtId="0" fontId="43" fillId="0" borderId="0" xfId="0" applyFont="1" applyFill="1" applyAlignment="1" applyProtection="1">
      <alignment vertical="center"/>
    </xf>
    <xf numFmtId="0" fontId="43" fillId="0" borderId="0" xfId="0" applyFont="1" applyFill="1" applyBorder="1" applyAlignment="1" applyProtection="1">
      <alignment vertical="center"/>
    </xf>
    <xf numFmtId="0" fontId="49" fillId="0" borderId="0" xfId="0" applyFont="1" applyAlignment="1" applyProtection="1">
      <alignment vertical="center"/>
    </xf>
    <xf numFmtId="0" fontId="43" fillId="0" borderId="0" xfId="0" applyFont="1" applyAlignment="1" applyProtection="1">
      <alignment vertical="center"/>
    </xf>
    <xf numFmtId="0" fontId="44" fillId="0" borderId="0" xfId="0" applyFont="1" applyProtection="1"/>
    <xf numFmtId="165" fontId="44" fillId="0" borderId="0" xfId="0" applyNumberFormat="1" applyFont="1" applyFill="1" applyBorder="1" applyAlignment="1" applyProtection="1">
      <alignment horizontal="left"/>
    </xf>
    <xf numFmtId="0" fontId="44" fillId="0" borderId="0" xfId="0" applyFont="1" applyFill="1" applyAlignment="1" applyProtection="1">
      <alignment horizontal="left"/>
    </xf>
    <xf numFmtId="0" fontId="44" fillId="0" borderId="0" xfId="0" applyFont="1" applyAlignment="1" applyProtection="1">
      <alignment vertical="center"/>
    </xf>
    <xf numFmtId="0" fontId="46" fillId="0" borderId="0" xfId="0" applyFont="1" applyAlignment="1" applyProtection="1">
      <alignment vertical="center"/>
    </xf>
    <xf numFmtId="0" fontId="43" fillId="0" borderId="0" xfId="0" applyFont="1" applyFill="1" applyAlignment="1" applyProtection="1">
      <alignment horizontal="left" vertical="center"/>
    </xf>
    <xf numFmtId="0" fontId="43" fillId="0" borderId="0" xfId="0" applyFont="1" applyAlignment="1" applyProtection="1">
      <alignment horizontal="left" vertical="center"/>
    </xf>
    <xf numFmtId="0" fontId="43" fillId="0" borderId="0" xfId="0" applyFont="1" applyProtection="1"/>
    <xf numFmtId="0" fontId="43" fillId="0" borderId="0" xfId="0" applyFont="1" applyAlignment="1" applyProtection="1">
      <alignment horizontal="left"/>
    </xf>
    <xf numFmtId="0" fontId="49" fillId="0" borderId="0" xfId="0" applyFont="1" applyFill="1" applyAlignment="1" applyProtection="1">
      <alignment vertical="center"/>
    </xf>
    <xf numFmtId="0" fontId="44" fillId="0" borderId="0" xfId="0" applyFont="1" applyFill="1" applyAlignment="1" applyProtection="1"/>
    <xf numFmtId="0" fontId="43" fillId="0" borderId="0" xfId="0" applyFont="1" applyFill="1" applyAlignment="1" applyProtection="1">
      <alignment horizontal="left"/>
    </xf>
    <xf numFmtId="0" fontId="7" fillId="0" borderId="0" xfId="0" applyFont="1" applyBorder="1" applyProtection="1"/>
    <xf numFmtId="165" fontId="7" fillId="0" borderId="0" xfId="0" applyNumberFormat="1" applyFont="1" applyBorder="1" applyAlignment="1" applyProtection="1">
      <alignment vertical="center"/>
    </xf>
    <xf numFmtId="0" fontId="48" fillId="0" borderId="0" xfId="0" applyFont="1" applyFill="1" applyBorder="1" applyAlignment="1" applyProtection="1">
      <alignment vertical="center"/>
    </xf>
    <xf numFmtId="43" fontId="43" fillId="0" borderId="0" xfId="1" applyFont="1" applyFill="1" applyBorder="1" applyProtection="1"/>
    <xf numFmtId="0" fontId="43" fillId="0" borderId="0" xfId="0" applyFont="1" applyFill="1" applyBorder="1" applyProtection="1"/>
    <xf numFmtId="43" fontId="44" fillId="0" borderId="0" xfId="1" applyFont="1" applyFill="1" applyBorder="1" applyProtection="1"/>
    <xf numFmtId="0" fontId="44" fillId="0" borderId="0" xfId="0" applyFont="1" applyFill="1" applyBorder="1" applyProtection="1"/>
    <xf numFmtId="43" fontId="44" fillId="0" borderId="0" xfId="1" applyFont="1" applyFill="1" applyBorder="1" applyAlignment="1" applyProtection="1">
      <alignment vertical="center"/>
    </xf>
    <xf numFmtId="0" fontId="43" fillId="0" borderId="0" xfId="0" applyFont="1" applyFill="1" applyBorder="1" applyAlignment="1" applyProtection="1">
      <alignment horizontal="left" vertical="center"/>
    </xf>
    <xf numFmtId="165" fontId="50" fillId="0" borderId="0" xfId="1" applyNumberFormat="1" applyFont="1" applyFill="1" applyBorder="1" applyProtection="1"/>
    <xf numFmtId="43" fontId="50" fillId="0" borderId="0" xfId="1" applyFont="1" applyFill="1" applyBorder="1" applyProtection="1"/>
    <xf numFmtId="0" fontId="45" fillId="0" borderId="0" xfId="0" applyFont="1" applyFill="1" applyBorder="1" applyAlignment="1" applyProtection="1">
      <alignment horizontal="righ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0" xfId="0" applyFont="1" applyFill="1" applyBorder="1" applyAlignment="1" applyProtection="1">
      <alignment vertical="center"/>
    </xf>
    <xf numFmtId="0" fontId="4" fillId="0" borderId="20" xfId="0" applyFont="1" applyBorder="1" applyAlignment="1" applyProtection="1">
      <alignment vertical="center"/>
    </xf>
    <xf numFmtId="0" fontId="4" fillId="0" borderId="39" xfId="0" applyFont="1" applyFill="1" applyBorder="1" applyAlignment="1" applyProtection="1">
      <alignment vertical="center"/>
    </xf>
    <xf numFmtId="0" fontId="4" fillId="0" borderId="39" xfId="0" applyFont="1" applyBorder="1" applyAlignment="1">
      <alignment vertical="center"/>
    </xf>
    <xf numFmtId="0" fontId="4" fillId="0" borderId="43" xfId="0" applyFont="1" applyBorder="1" applyAlignment="1">
      <alignment vertical="center"/>
    </xf>
    <xf numFmtId="0" fontId="7" fillId="0" borderId="37" xfId="0" applyFont="1" applyFill="1" applyBorder="1" applyAlignment="1" applyProtection="1">
      <alignment horizontal="left" vertical="center"/>
    </xf>
    <xf numFmtId="2" fontId="7" fillId="0" borderId="37" xfId="0" applyNumberFormat="1" applyFont="1" applyFill="1" applyBorder="1" applyAlignment="1" applyProtection="1">
      <alignment horizontal="center"/>
    </xf>
    <xf numFmtId="0" fontId="4" fillId="0" borderId="37" xfId="0" applyFont="1" applyFill="1" applyBorder="1" applyAlignment="1" applyProtection="1">
      <alignment horizontal="left" vertical="center"/>
    </xf>
    <xf numFmtId="2" fontId="4" fillId="0" borderId="37" xfId="0" applyNumberFormat="1" applyFont="1" applyFill="1" applyBorder="1" applyAlignment="1" applyProtection="1">
      <alignment horizontal="center"/>
    </xf>
    <xf numFmtId="0" fontId="4" fillId="0" borderId="43" xfId="0" applyFont="1" applyFill="1" applyBorder="1" applyAlignment="1" applyProtection="1">
      <alignment horizontal="left" vertical="center"/>
    </xf>
    <xf numFmtId="2" fontId="4" fillId="0" borderId="43" xfId="0" applyNumberFormat="1" applyFont="1" applyFill="1" applyBorder="1" applyAlignment="1" applyProtection="1">
      <alignment horizontal="center"/>
    </xf>
    <xf numFmtId="0" fontId="5" fillId="0" borderId="5" xfId="0" applyFont="1" applyFill="1" applyBorder="1" applyAlignment="1" applyProtection="1">
      <alignment horizontal="left" vertical="center"/>
    </xf>
    <xf numFmtId="0" fontId="0" fillId="0" borderId="20" xfId="0" applyBorder="1" applyAlignment="1" applyProtection="1">
      <alignment vertical="center"/>
    </xf>
    <xf numFmtId="0" fontId="4" fillId="4" borderId="4" xfId="0" applyNumberFormat="1" applyFont="1"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7" fillId="4" borderId="4" xfId="0" applyNumberFormat="1"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0" fontId="0" fillId="4" borderId="24" xfId="0" applyFill="1" applyBorder="1" applyAlignment="1" applyProtection="1">
      <alignment vertical="center"/>
      <protection locked="0"/>
    </xf>
    <xf numFmtId="0" fontId="0" fillId="4" borderId="19" xfId="0" applyFill="1" applyBorder="1" applyAlignment="1" applyProtection="1">
      <alignment vertical="center"/>
      <protection locked="0"/>
    </xf>
    <xf numFmtId="0" fontId="8" fillId="0" borderId="0" xfId="0" applyFont="1" applyFill="1" applyAlignment="1" applyProtection="1">
      <alignment vertical="center"/>
    </xf>
    <xf numFmtId="0" fontId="0" fillId="0" borderId="0" xfId="0" applyFill="1" applyAlignment="1" applyProtection="1"/>
    <xf numFmtId="0" fontId="7" fillId="4" borderId="11"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35" xfId="0" applyFont="1" applyFill="1" applyBorder="1" applyAlignment="1" applyProtection="1">
      <alignment horizontal="left" vertical="top"/>
      <protection locked="0"/>
    </xf>
    <xf numFmtId="0" fontId="4" fillId="4" borderId="1" xfId="0" applyFont="1" applyFill="1" applyBorder="1" applyAlignment="1" applyProtection="1">
      <alignment horizontal="left" vertical="top"/>
      <protection locked="0"/>
    </xf>
    <xf numFmtId="0" fontId="4" fillId="4" borderId="2" xfId="0" applyFont="1" applyFill="1" applyBorder="1" applyAlignment="1" applyProtection="1">
      <alignment horizontal="left" vertical="top"/>
      <protection locked="0"/>
    </xf>
    <xf numFmtId="0" fontId="4" fillId="4" borderId="26"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center"/>
      <protection locked="0"/>
    </xf>
    <xf numFmtId="0" fontId="8" fillId="4" borderId="14" xfId="0" applyFont="1" applyFill="1" applyBorder="1" applyAlignment="1" applyProtection="1">
      <alignment horizontal="left" vertical="center"/>
      <protection locked="0"/>
    </xf>
    <xf numFmtId="0" fontId="0" fillId="4" borderId="14" xfId="0" applyFill="1" applyBorder="1" applyAlignment="1" applyProtection="1">
      <alignment horizontal="left" vertical="center"/>
      <protection locked="0"/>
    </xf>
    <xf numFmtId="0" fontId="0" fillId="4" borderId="17" xfId="0" applyFill="1" applyBorder="1" applyAlignment="1" applyProtection="1">
      <alignment horizontal="left" vertical="center"/>
      <protection locked="0"/>
    </xf>
    <xf numFmtId="0" fontId="7" fillId="0" borderId="4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7"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4" fillId="0" borderId="40"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2" fontId="7" fillId="0" borderId="40" xfId="0" applyNumberFormat="1" applyFont="1" applyFill="1" applyBorder="1" applyAlignment="1" applyProtection="1">
      <alignment horizontal="center" vertical="center"/>
    </xf>
    <xf numFmtId="2" fontId="7" fillId="0" borderId="43" xfId="0" applyNumberFormat="1" applyFont="1" applyFill="1" applyBorder="1" applyAlignment="1" applyProtection="1">
      <alignment horizontal="center" vertical="center"/>
    </xf>
    <xf numFmtId="0" fontId="7" fillId="0" borderId="7" xfId="0" applyFont="1" applyFill="1" applyBorder="1" applyAlignment="1" applyProtection="1"/>
    <xf numFmtId="0" fontId="4" fillId="0" borderId="6" xfId="0" applyFont="1" applyBorder="1" applyAlignment="1"/>
    <xf numFmtId="0" fontId="4" fillId="0" borderId="30" xfId="0" applyFont="1" applyBorder="1" applyAlignment="1"/>
    <xf numFmtId="0" fontId="9" fillId="0" borderId="40"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7" fillId="0" borderId="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20" xfId="0" applyFont="1" applyFill="1" applyBorder="1" applyAlignment="1" applyProtection="1">
      <alignment vertical="center"/>
    </xf>
    <xf numFmtId="2" fontId="7" fillId="0" borderId="40" xfId="0" applyNumberFormat="1" applyFont="1" applyFill="1" applyBorder="1" applyAlignment="1" applyProtection="1">
      <alignment horizontal="center"/>
    </xf>
    <xf numFmtId="0" fontId="7" fillId="0" borderId="40" xfId="0" applyFont="1" applyFill="1" applyBorder="1" applyAlignment="1" applyProtection="1">
      <alignment horizontal="left" vertical="center"/>
    </xf>
    <xf numFmtId="0" fontId="7" fillId="0" borderId="0" xfId="0" applyFont="1" applyFill="1" applyAlignment="1" applyProtection="1">
      <alignment horizontal="left" vertical="center" wrapText="1"/>
    </xf>
    <xf numFmtId="0" fontId="0" fillId="0" borderId="6" xfId="0" applyBorder="1" applyAlignment="1" applyProtection="1"/>
    <xf numFmtId="0" fontId="0" fillId="0" borderId="30" xfId="0" applyBorder="1" applyAlignment="1" applyProtection="1"/>
    <xf numFmtId="0" fontId="0" fillId="0" borderId="1" xfId="0" applyBorder="1" applyAlignment="1" applyProtection="1"/>
    <xf numFmtId="0" fontId="0" fillId="0" borderId="2" xfId="0" applyBorder="1" applyAlignment="1" applyProtection="1"/>
    <xf numFmtId="0" fontId="0" fillId="0" borderId="26" xfId="0" applyBorder="1" applyAlignment="1" applyProtection="1"/>
    <xf numFmtId="0" fontId="4" fillId="0" borderId="43" xfId="0" applyFont="1" applyBorder="1" applyAlignment="1" applyProtection="1">
      <alignment horizontal="center" vertical="center"/>
    </xf>
    <xf numFmtId="0" fontId="12" fillId="0" borderId="22" xfId="0" applyFont="1" applyFill="1" applyBorder="1" applyAlignment="1" applyProtection="1">
      <alignment horizontal="left" vertical="top" wrapText="1"/>
    </xf>
    <xf numFmtId="0" fontId="12" fillId="0" borderId="31" xfId="0" applyFont="1" applyFill="1" applyBorder="1" applyAlignment="1" applyProtection="1">
      <alignment horizontal="left" vertical="top"/>
    </xf>
    <xf numFmtId="0" fontId="12" fillId="0" borderId="32" xfId="0" applyFont="1" applyFill="1" applyBorder="1" applyAlignment="1" applyProtection="1">
      <alignment horizontal="left" vertical="top"/>
    </xf>
    <xf numFmtId="0" fontId="9" fillId="0" borderId="7"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0" fillId="0" borderId="43" xfId="0" applyBorder="1" applyAlignment="1" applyProtection="1">
      <alignment horizontal="center" vertical="center"/>
    </xf>
    <xf numFmtId="0" fontId="12" fillId="0" borderId="31" xfId="0" applyFont="1" applyFill="1" applyBorder="1" applyAlignment="1" applyProtection="1">
      <alignment horizontal="left" vertical="top" wrapText="1"/>
    </xf>
    <xf numFmtId="0" fontId="12" fillId="0" borderId="32"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12" fillId="0" borderId="24" xfId="0" applyFont="1" applyFill="1" applyBorder="1" applyAlignment="1" applyProtection="1">
      <alignment horizontal="left" vertical="top"/>
    </xf>
    <xf numFmtId="0" fontId="12" fillId="0" borderId="19" xfId="0" applyFont="1" applyFill="1" applyBorder="1" applyAlignment="1" applyProtection="1">
      <alignment horizontal="left" vertical="top"/>
    </xf>
    <xf numFmtId="0" fontId="8" fillId="0" borderId="37" xfId="0" applyFont="1" applyFill="1" applyBorder="1" applyAlignment="1" applyProtection="1">
      <alignment horizontal="left" vertical="center"/>
    </xf>
    <xf numFmtId="165" fontId="4" fillId="4" borderId="18" xfId="1" applyNumberFormat="1" applyFont="1" applyFill="1" applyBorder="1" applyAlignment="1" applyProtection="1">
      <alignment horizontal="center" vertical="center"/>
      <protection locked="0"/>
    </xf>
    <xf numFmtId="165" fontId="4" fillId="4" borderId="33" xfId="1" applyNumberFormat="1" applyFont="1" applyFill="1" applyBorder="1" applyAlignment="1" applyProtection="1">
      <alignment horizontal="center" vertical="center"/>
      <protection locked="0"/>
    </xf>
    <xf numFmtId="0" fontId="7" fillId="4" borderId="36" xfId="0" applyFont="1" applyFill="1" applyBorder="1" applyAlignment="1" applyProtection="1">
      <alignment horizontal="left" vertical="center"/>
      <protection locked="0"/>
    </xf>
    <xf numFmtId="0" fontId="0" fillId="4" borderId="37" xfId="0" applyFill="1" applyBorder="1" applyAlignment="1" applyProtection="1">
      <alignment horizontal="left"/>
      <protection locked="0"/>
    </xf>
    <xf numFmtId="0" fontId="8" fillId="4" borderId="37" xfId="0" applyFont="1" applyFill="1" applyBorder="1" applyAlignment="1" applyProtection="1">
      <alignment horizontal="left" vertical="center"/>
      <protection locked="0"/>
    </xf>
    <xf numFmtId="0" fontId="7" fillId="4" borderId="37"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xf>
    <xf numFmtId="0" fontId="8" fillId="0" borderId="37" xfId="0" applyFont="1" applyBorder="1" applyAlignment="1" applyProtection="1">
      <alignment horizontal="left" vertical="center"/>
    </xf>
    <xf numFmtId="0" fontId="4" fillId="4" borderId="14"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14" xfId="0" applyNumberFormat="1" applyFont="1" applyFill="1" applyBorder="1" applyAlignment="1" applyProtection="1">
      <alignment horizontal="left" vertical="center"/>
      <protection locked="0"/>
    </xf>
    <xf numFmtId="0" fontId="4" fillId="4" borderId="17" xfId="0" applyNumberFormat="1" applyFont="1" applyFill="1" applyBorder="1" applyAlignment="1" applyProtection="1">
      <alignment horizontal="left" vertical="center"/>
      <protection locked="0"/>
    </xf>
    <xf numFmtId="0" fontId="7" fillId="4" borderId="14" xfId="0" applyNumberFormat="1" applyFont="1" applyFill="1" applyBorder="1" applyAlignment="1" applyProtection="1">
      <alignment horizontal="left" vertical="center"/>
      <protection locked="0"/>
    </xf>
    <xf numFmtId="0" fontId="7" fillId="4" borderId="17" xfId="0" applyNumberFormat="1" applyFont="1" applyFill="1" applyBorder="1" applyAlignment="1" applyProtection="1">
      <alignment horizontal="left" vertical="center"/>
      <protection locked="0"/>
    </xf>
    <xf numFmtId="3" fontId="4" fillId="4" borderId="4" xfId="0" applyNumberFormat="1" applyFont="1" applyFill="1" applyBorder="1" applyAlignment="1" applyProtection="1">
      <alignment horizontal="left" vertical="center"/>
      <protection locked="0"/>
    </xf>
    <xf numFmtId="3" fontId="4" fillId="4" borderId="14" xfId="0" applyNumberFormat="1" applyFont="1" applyFill="1" applyBorder="1" applyAlignment="1" applyProtection="1">
      <alignment horizontal="left" vertical="center"/>
      <protection locked="0"/>
    </xf>
    <xf numFmtId="3" fontId="4" fillId="4" borderId="17" xfId="0" applyNumberFormat="1" applyFont="1" applyFill="1" applyBorder="1" applyAlignment="1" applyProtection="1">
      <alignment horizontal="left" vertical="center"/>
      <protection locked="0"/>
    </xf>
    <xf numFmtId="0" fontId="0" fillId="4" borderId="27"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35"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6" xfId="0" applyFill="1" applyBorder="1" applyAlignment="1" applyProtection="1">
      <alignment horizontal="left" vertical="top" wrapText="1"/>
      <protection locked="0"/>
    </xf>
    <xf numFmtId="0" fontId="13" fillId="0" borderId="40" xfId="0" applyFont="1" applyFill="1" applyBorder="1" applyAlignment="1" applyProtection="1">
      <alignment horizontal="center" vertical="center" wrapText="1"/>
    </xf>
    <xf numFmtId="0" fontId="13" fillId="0" borderId="43"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13" fillId="0" borderId="3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20" xfId="0" applyFill="1" applyBorder="1" applyAlignment="1" applyProtection="1">
      <alignment vertical="center"/>
    </xf>
    <xf numFmtId="0" fontId="0" fillId="0" borderId="21" xfId="0" applyFill="1" applyBorder="1" applyAlignment="1" applyProtection="1">
      <alignment vertical="center"/>
    </xf>
    <xf numFmtId="0" fontId="7" fillId="0" borderId="7" xfId="0" applyFont="1" applyFill="1" applyBorder="1" applyAlignment="1" applyProtection="1">
      <alignment vertical="center"/>
    </xf>
    <xf numFmtId="0" fontId="0" fillId="0" borderId="6" xfId="0" applyBorder="1" applyAlignment="1" applyProtection="1">
      <alignment vertical="center"/>
    </xf>
    <xf numFmtId="0" fontId="0" fillId="0" borderId="30" xfId="0" applyBorder="1" applyAlignment="1" applyProtection="1">
      <alignment vertical="center"/>
    </xf>
    <xf numFmtId="0" fontId="8" fillId="4" borderId="27"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7" fillId="0" borderId="41"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0" fillId="0" borderId="14" xfId="0" applyBorder="1" applyAlignment="1"/>
    <xf numFmtId="0" fontId="0" fillId="0" borderId="17" xfId="0" applyBorder="1" applyAlignment="1"/>
    <xf numFmtId="0" fontId="7" fillId="0" borderId="5" xfId="0" applyFont="1" applyFill="1" applyBorder="1" applyAlignment="1" applyProtection="1">
      <alignment horizontal="left" vertical="center" wrapText="1"/>
    </xf>
    <xf numFmtId="0" fontId="0" fillId="0" borderId="20" xfId="0" applyBorder="1" applyAlignment="1">
      <alignment vertical="center" wrapText="1"/>
    </xf>
    <xf numFmtId="0" fontId="0" fillId="0" borderId="21" xfId="0" applyBorder="1" applyAlignment="1">
      <alignment vertical="center" wrapText="1"/>
    </xf>
    <xf numFmtId="0" fontId="4" fillId="0" borderId="1" xfId="0" applyFont="1" applyFill="1" applyBorder="1" applyAlignment="1" applyProtection="1">
      <alignment vertical="center"/>
    </xf>
    <xf numFmtId="0" fontId="0" fillId="0" borderId="2" xfId="0" applyBorder="1" applyAlignment="1"/>
    <xf numFmtId="0" fontId="0" fillId="0" borderId="26" xfId="0" applyBorder="1" applyAlignment="1"/>
    <xf numFmtId="0" fontId="7" fillId="0" borderId="20" xfId="0" applyFont="1" applyFill="1" applyBorder="1" applyAlignment="1" applyProtection="1">
      <alignment horizontal="center" vertical="center"/>
    </xf>
    <xf numFmtId="1" fontId="4" fillId="4" borderId="4" xfId="1" applyNumberFormat="1" applyFont="1" applyFill="1" applyBorder="1" applyAlignment="1" applyProtection="1">
      <alignment horizontal="left" vertical="center"/>
      <protection locked="0"/>
    </xf>
    <xf numFmtId="0" fontId="4" fillId="4" borderId="14" xfId="0" applyFont="1" applyFill="1" applyBorder="1" applyAlignment="1" applyProtection="1">
      <alignment vertical="center"/>
      <protection locked="0"/>
    </xf>
    <xf numFmtId="0" fontId="4" fillId="4" borderId="17" xfId="0" applyFont="1" applyFill="1" applyBorder="1" applyAlignment="1" applyProtection="1">
      <alignment vertical="center"/>
      <protection locked="0"/>
    </xf>
    <xf numFmtId="165" fontId="4" fillId="4" borderId="4" xfId="1" applyNumberFormat="1" applyFont="1" applyFill="1" applyBorder="1" applyAlignment="1" applyProtection="1">
      <alignment horizontal="center" vertical="center"/>
      <protection locked="0"/>
    </xf>
    <xf numFmtId="165" fontId="4" fillId="4" borderId="28" xfId="1" applyNumberFormat="1" applyFont="1" applyFill="1" applyBorder="1" applyAlignment="1" applyProtection="1">
      <alignment horizontal="center" vertical="center"/>
      <protection locked="0"/>
    </xf>
    <xf numFmtId="0" fontId="7" fillId="4" borderId="4" xfId="1" applyNumberFormat="1" applyFont="1" applyFill="1" applyBorder="1" applyAlignment="1" applyProtection="1">
      <alignment horizontal="left" vertical="center"/>
      <protection locked="0"/>
    </xf>
    <xf numFmtId="0" fontId="4" fillId="4" borderId="14" xfId="0" applyNumberFormat="1" applyFont="1" applyFill="1" applyBorder="1" applyAlignment="1" applyProtection="1">
      <alignment vertical="center"/>
      <protection locked="0"/>
    </xf>
    <xf numFmtId="0" fontId="4" fillId="4" borderId="17" xfId="0" applyNumberFormat="1" applyFont="1" applyFill="1" applyBorder="1" applyAlignment="1" applyProtection="1">
      <alignment vertical="center"/>
      <protection locked="0"/>
    </xf>
    <xf numFmtId="3" fontId="4" fillId="4" borderId="4" xfId="1" applyNumberFormat="1" applyFont="1" applyFill="1" applyBorder="1" applyAlignment="1" applyProtection="1">
      <alignment horizontal="left" vertical="center"/>
      <protection locked="0"/>
    </xf>
    <xf numFmtId="3" fontId="26" fillId="0" borderId="2" xfId="7" applyNumberFormat="1" applyFont="1" applyFill="1" applyBorder="1" applyAlignment="1" applyProtection="1">
      <alignment horizontal="left" vertical="center" wrapText="1"/>
    </xf>
    <xf numFmtId="0" fontId="4" fillId="4" borderId="27" xfId="0" quotePrefix="1"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35"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26" xfId="0" applyFont="1" applyFill="1" applyBorder="1" applyAlignment="1" applyProtection="1">
      <alignment horizontal="left" vertical="top" wrapText="1"/>
      <protection locked="0"/>
    </xf>
    <xf numFmtId="0" fontId="9" fillId="0" borderId="6" xfId="0" applyFont="1" applyFill="1" applyBorder="1" applyAlignment="1" applyProtection="1">
      <alignment horizontal="right" vertical="top" wrapText="1"/>
    </xf>
    <xf numFmtId="0" fontId="0" fillId="0" borderId="6" xfId="0" applyBorder="1" applyAlignment="1" applyProtection="1">
      <alignment vertical="top" wrapText="1"/>
    </xf>
    <xf numFmtId="3" fontId="7" fillId="3" borderId="41" xfId="1" applyNumberFormat="1"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xf>
    <xf numFmtId="0" fontId="7" fillId="2" borderId="41" xfId="0" applyFont="1" applyFill="1" applyBorder="1" applyAlignment="1" applyProtection="1">
      <alignment horizontal="left" vertical="center"/>
    </xf>
    <xf numFmtId="0" fontId="7" fillId="2" borderId="40" xfId="0" applyFont="1" applyFill="1" applyBorder="1" applyAlignment="1" applyProtection="1">
      <alignment vertical="center"/>
    </xf>
    <xf numFmtId="0" fontId="0" fillId="2" borderId="43" xfId="0" applyFill="1" applyBorder="1" applyAlignment="1">
      <alignment vertical="center"/>
    </xf>
    <xf numFmtId="0" fontId="7" fillId="2" borderId="43" xfId="0" applyFont="1" applyFill="1" applyBorder="1" applyAlignment="1" applyProtection="1">
      <alignment horizontal="left" vertical="center"/>
    </xf>
    <xf numFmtId="0" fontId="4" fillId="0" borderId="6" xfId="0" applyFont="1" applyBorder="1" applyAlignment="1" applyProtection="1"/>
    <xf numFmtId="0" fontId="4" fillId="0" borderId="30" xfId="0" applyFont="1" applyBorder="1" applyAlignment="1" applyProtection="1"/>
    <xf numFmtId="0" fontId="4" fillId="2" borderId="13"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2" borderId="16" xfId="0" applyFont="1" applyFill="1" applyBorder="1" applyAlignment="1" applyProtection="1">
      <alignment horizontal="left" vertical="center"/>
    </xf>
    <xf numFmtId="165" fontId="4" fillId="2" borderId="39" xfId="1" applyNumberFormat="1" applyFont="1" applyFill="1" applyBorder="1" applyAlignment="1" applyProtection="1">
      <alignment horizontal="center" vertical="center"/>
    </xf>
    <xf numFmtId="165" fontId="4" fillId="0" borderId="39" xfId="1" applyNumberFormat="1" applyFont="1" applyFill="1" applyBorder="1" applyAlignment="1" applyProtection="1">
      <alignment horizontal="center"/>
    </xf>
    <xf numFmtId="165" fontId="4" fillId="0" borderId="44" xfId="1" applyNumberFormat="1" applyFont="1" applyFill="1" applyBorder="1" applyAlignment="1" applyProtection="1">
      <alignment horizontal="center"/>
    </xf>
    <xf numFmtId="0" fontId="4" fillId="0" borderId="2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32" xfId="0" applyFont="1" applyFill="1" applyBorder="1" applyAlignment="1" applyProtection="1">
      <alignment horizontal="left" vertical="center"/>
    </xf>
    <xf numFmtId="165" fontId="4" fillId="4" borderId="14" xfId="1" applyNumberFormat="1" applyFont="1" applyFill="1" applyBorder="1" applyAlignment="1" applyProtection="1">
      <alignment horizontal="center" vertical="center"/>
      <protection locked="0"/>
    </xf>
    <xf numFmtId="165" fontId="4" fillId="4" borderId="15" xfId="1" applyNumberFormat="1" applyFont="1" applyFill="1" applyBorder="1" applyAlignment="1" applyProtection="1">
      <alignment horizontal="center" vertical="center"/>
      <protection locked="0"/>
    </xf>
    <xf numFmtId="0" fontId="5"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4" fillId="4" borderId="31"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7" fillId="4" borderId="17" xfId="1" applyNumberFormat="1" applyFont="1" applyFill="1" applyBorder="1" applyAlignment="1" applyProtection="1">
      <alignment horizontal="left" vertical="center"/>
      <protection locked="0"/>
    </xf>
    <xf numFmtId="0" fontId="7" fillId="0" borderId="5" xfId="1" applyNumberFormat="1" applyFont="1" applyFill="1" applyBorder="1" applyAlignment="1" applyProtection="1">
      <alignment horizontal="left" vertical="center"/>
    </xf>
    <xf numFmtId="0" fontId="4" fillId="0" borderId="20" xfId="1" applyNumberFormat="1" applyFont="1" applyFill="1" applyBorder="1" applyAlignment="1" applyProtection="1">
      <alignment horizontal="left" vertical="center"/>
    </xf>
    <xf numFmtId="0" fontId="4" fillId="0" borderId="21" xfId="1" applyNumberFormat="1" applyFont="1" applyFill="1" applyBorder="1" applyAlignment="1" applyProtection="1">
      <alignment horizontal="left" vertical="center"/>
    </xf>
    <xf numFmtId="0" fontId="7" fillId="4" borderId="5" xfId="1" applyNumberFormat="1" applyFont="1" applyFill="1" applyBorder="1" applyAlignment="1" applyProtection="1">
      <alignment horizontal="center" vertical="center"/>
      <protection locked="0"/>
    </xf>
    <xf numFmtId="0" fontId="7" fillId="4" borderId="21" xfId="1"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xf>
    <xf numFmtId="0" fontId="9" fillId="0" borderId="20" xfId="0" applyFont="1" applyFill="1" applyBorder="1" applyAlignment="1" applyProtection="1">
      <alignment horizontal="left" vertical="center"/>
    </xf>
    <xf numFmtId="0" fontId="4" fillId="0" borderId="41"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165" fontId="4" fillId="4" borderId="24" xfId="1" applyNumberFormat="1" applyFont="1" applyFill="1" applyBorder="1" applyAlignment="1" applyProtection="1">
      <alignment horizontal="center" vertical="center"/>
      <protection locked="0"/>
    </xf>
    <xf numFmtId="0" fontId="4" fillId="4" borderId="4" xfId="1" applyNumberFormat="1" applyFont="1" applyFill="1" applyBorder="1" applyAlignment="1" applyProtection="1">
      <alignment horizontal="left" vertical="center"/>
      <protection locked="0"/>
    </xf>
    <xf numFmtId="0" fontId="4" fillId="4" borderId="17" xfId="1" applyNumberFormat="1" applyFont="1" applyFill="1" applyBorder="1" applyAlignment="1" applyProtection="1">
      <alignment horizontal="left" vertical="center"/>
      <protection locked="0"/>
    </xf>
    <xf numFmtId="0" fontId="5" fillId="0" borderId="5" xfId="0" applyFont="1" applyBorder="1" applyAlignment="1" applyProtection="1">
      <alignment horizontal="left" vertical="center"/>
    </xf>
    <xf numFmtId="0" fontId="5" fillId="0" borderId="20" xfId="0" applyFont="1" applyBorder="1" applyAlignment="1" applyProtection="1">
      <alignment horizontal="left" vertical="center"/>
    </xf>
    <xf numFmtId="0" fontId="4" fillId="0" borderId="20" xfId="0" applyFont="1" applyBorder="1" applyAlignment="1" applyProtection="1">
      <alignment horizontal="left" vertical="center"/>
    </xf>
    <xf numFmtId="0" fontId="7" fillId="4" borderId="65" xfId="0" applyFont="1" applyFill="1" applyBorder="1" applyAlignment="1" applyProtection="1">
      <alignment horizontal="left" vertical="center"/>
      <protection locked="0"/>
    </xf>
    <xf numFmtId="0" fontId="4" fillId="4" borderId="61"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7" fillId="4" borderId="61" xfId="0" applyFont="1" applyFill="1" applyBorder="1" applyAlignment="1" applyProtection="1">
      <alignment horizontal="left" vertical="center"/>
      <protection locked="0"/>
    </xf>
    <xf numFmtId="0" fontId="7" fillId="0" borderId="5" xfId="0" applyFont="1" applyFill="1" applyBorder="1" applyAlignment="1" applyProtection="1">
      <alignment horizontal="left"/>
    </xf>
    <xf numFmtId="0" fontId="7" fillId="0" borderId="20" xfId="0" applyFont="1" applyFill="1" applyBorder="1" applyAlignment="1" applyProtection="1">
      <alignment horizontal="left"/>
    </xf>
    <xf numFmtId="0" fontId="7" fillId="0" borderId="21" xfId="0" applyFont="1" applyFill="1" applyBorder="1" applyAlignment="1" applyProtection="1">
      <alignment horizontal="left"/>
    </xf>
    <xf numFmtId="165" fontId="4" fillId="4" borderId="41" xfId="1" applyNumberFormat="1" applyFont="1" applyFill="1" applyBorder="1" applyAlignment="1" applyProtection="1">
      <alignment horizontal="center" vertical="center"/>
      <protection locked="0"/>
    </xf>
    <xf numFmtId="0" fontId="7" fillId="0" borderId="41" xfId="0" applyFont="1" applyBorder="1" applyAlignment="1" applyProtection="1">
      <alignment horizontal="center" vertical="center" wrapText="1"/>
    </xf>
    <xf numFmtId="0" fontId="7" fillId="0" borderId="20" xfId="0" applyFont="1" applyBorder="1" applyAlignment="1" applyProtection="1">
      <alignment horizontal="center" vertical="center"/>
    </xf>
    <xf numFmtId="0" fontId="14" fillId="0" borderId="5" xfId="0" applyFont="1" applyBorder="1" applyAlignment="1" applyProtection="1">
      <alignment vertical="center"/>
    </xf>
    <xf numFmtId="0" fontId="14" fillId="0" borderId="20" xfId="0" applyFont="1" applyBorder="1" applyAlignment="1" applyProtection="1">
      <alignment vertical="center"/>
    </xf>
    <xf numFmtId="0" fontId="14" fillId="0" borderId="21" xfId="0" applyFont="1" applyBorder="1" applyAlignment="1" applyProtection="1">
      <alignment vertical="center"/>
    </xf>
    <xf numFmtId="0" fontId="4" fillId="0" borderId="2" xfId="0" applyFont="1" applyBorder="1" applyAlignment="1" applyProtection="1">
      <alignment vertical="center"/>
    </xf>
    <xf numFmtId="0" fontId="7" fillId="0" borderId="7" xfId="0" applyFont="1" applyBorder="1" applyAlignment="1" applyProtection="1">
      <alignment vertical="center"/>
    </xf>
    <xf numFmtId="0" fontId="7" fillId="0" borderId="6" xfId="0" applyFont="1" applyBorder="1" applyAlignment="1" applyProtection="1">
      <alignment vertical="center"/>
    </xf>
    <xf numFmtId="0" fontId="7" fillId="0" borderId="55" xfId="0" applyFont="1" applyBorder="1" applyAlignment="1" applyProtection="1">
      <alignment vertical="center"/>
    </xf>
    <xf numFmtId="0" fontId="4" fillId="4" borderId="56" xfId="0" applyFont="1" applyFill="1" applyBorder="1" applyAlignment="1" applyProtection="1">
      <alignment horizontal="left" vertical="top" wrapText="1"/>
      <protection locked="0"/>
    </xf>
    <xf numFmtId="0" fontId="4" fillId="4" borderId="0" xfId="0" applyFont="1" applyFill="1" applyAlignment="1" applyProtection="1">
      <alignment horizontal="left" vertical="top" wrapText="1"/>
      <protection locked="0"/>
    </xf>
    <xf numFmtId="0" fontId="4" fillId="4" borderId="60"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xf>
    <xf numFmtId="1" fontId="7" fillId="0" borderId="74" xfId="0" applyNumberFormat="1" applyFont="1" applyBorder="1" applyAlignment="1" applyProtection="1">
      <alignment horizontal="center" vertical="center"/>
    </xf>
    <xf numFmtId="0" fontId="4" fillId="0" borderId="1" xfId="0" applyFont="1" applyBorder="1" applyAlignment="1" applyProtection="1">
      <alignment vertical="center"/>
    </xf>
    <xf numFmtId="165" fontId="4" fillId="0" borderId="53" xfId="1" applyNumberFormat="1" applyFont="1" applyBorder="1" applyAlignment="1" applyProtection="1">
      <alignment horizontal="center" vertical="center"/>
    </xf>
    <xf numFmtId="165" fontId="4" fillId="0" borderId="88" xfId="1" applyNumberFormat="1" applyFont="1" applyBorder="1" applyAlignment="1" applyProtection="1">
      <alignment horizontal="center" vertical="center"/>
    </xf>
    <xf numFmtId="0" fontId="4" fillId="0" borderId="41" xfId="0" applyFont="1" applyFill="1" applyBorder="1" applyAlignment="1" applyProtection="1">
      <alignment vertical="center"/>
      <protection locked="0"/>
    </xf>
    <xf numFmtId="0" fontId="7" fillId="0" borderId="74" xfId="0" applyFont="1" applyFill="1" applyBorder="1" applyAlignment="1" applyProtection="1">
      <alignment horizontal="center" vertical="center" wrapText="1"/>
    </xf>
    <xf numFmtId="165" fontId="7" fillId="0" borderId="5" xfId="1" applyNumberFormat="1" applyFont="1" applyBorder="1" applyAlignment="1" applyProtection="1">
      <alignment horizontal="left" vertical="center"/>
    </xf>
    <xf numFmtId="165" fontId="7" fillId="0" borderId="20" xfId="1" applyNumberFormat="1" applyFont="1" applyBorder="1" applyAlignment="1" applyProtection="1">
      <alignment horizontal="left" vertical="center"/>
    </xf>
    <xf numFmtId="165" fontId="7" fillId="0" borderId="21" xfId="1" applyNumberFormat="1" applyFont="1" applyBorder="1" applyAlignment="1" applyProtection="1">
      <alignment horizontal="left" vertical="center"/>
    </xf>
    <xf numFmtId="0" fontId="4" fillId="0" borderId="0" xfId="0" applyFont="1" applyBorder="1" applyAlignment="1" applyProtection="1">
      <alignment horizontal="center"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30" xfId="0" applyFont="1" applyBorder="1" applyAlignment="1" applyProtection="1">
      <alignment horizontal="left" vertical="center"/>
    </xf>
    <xf numFmtId="165" fontId="4" fillId="4" borderId="1" xfId="1" applyNumberFormat="1" applyFont="1" applyFill="1" applyBorder="1" applyAlignment="1" applyProtection="1">
      <alignment horizontal="center" vertical="center"/>
      <protection locked="0"/>
    </xf>
    <xf numFmtId="165" fontId="4" fillId="4" borderId="86" xfId="1"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14" fillId="0" borderId="5" xfId="0" applyFont="1" applyBorder="1" applyAlignment="1" applyProtection="1">
      <alignment horizontal="left" vertical="center" wrapText="1"/>
    </xf>
    <xf numFmtId="0" fontId="14" fillId="0" borderId="20" xfId="0" applyFont="1" applyBorder="1" applyAlignment="1" applyProtection="1">
      <alignment horizontal="left" vertical="center" wrapText="1"/>
    </xf>
    <xf numFmtId="0" fontId="14" fillId="0" borderId="21" xfId="0" applyFont="1" applyBorder="1" applyAlignment="1" applyProtection="1">
      <alignment horizontal="left" vertical="center" wrapText="1"/>
    </xf>
    <xf numFmtId="0" fontId="7" fillId="0" borderId="7" xfId="0" applyFont="1" applyBorder="1" applyAlignment="1">
      <alignment vertical="center" wrapText="1"/>
    </xf>
    <xf numFmtId="0" fontId="7" fillId="0" borderId="57" xfId="0" applyFont="1" applyBorder="1" applyAlignment="1">
      <alignment vertical="center" wrapText="1"/>
    </xf>
    <xf numFmtId="0" fontId="4" fillId="0" borderId="77"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77" xfId="0" applyFont="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0" borderId="41" xfId="0" applyFont="1" applyBorder="1" applyAlignment="1" applyProtection="1">
      <alignment horizontal="center" vertical="center" wrapText="1"/>
    </xf>
    <xf numFmtId="0" fontId="41" fillId="0" borderId="1" xfId="0" applyFont="1" applyBorder="1" applyAlignment="1" applyProtection="1">
      <alignment horizontal="left" vertical="center"/>
    </xf>
    <xf numFmtId="0" fontId="41" fillId="0" borderId="2" xfId="0" applyFont="1" applyBorder="1" applyAlignment="1" applyProtection="1">
      <alignment horizontal="left" vertical="center"/>
    </xf>
    <xf numFmtId="0" fontId="41" fillId="0" borderId="26" xfId="0" applyFont="1" applyBorder="1" applyAlignment="1" applyProtection="1">
      <alignment horizontal="left" vertical="center"/>
    </xf>
    <xf numFmtId="3" fontId="4" fillId="4" borderId="28" xfId="0" applyNumberFormat="1" applyFont="1" applyFill="1" applyBorder="1" applyAlignment="1" applyProtection="1">
      <alignment horizontal="left" vertical="center"/>
      <protection locked="0"/>
    </xf>
    <xf numFmtId="0" fontId="7" fillId="4" borderId="4"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3" fontId="7" fillId="0" borderId="23" xfId="0" applyNumberFormat="1" applyFont="1" applyBorder="1" applyAlignment="1" applyProtection="1">
      <alignment horizontal="left" vertical="center"/>
    </xf>
    <xf numFmtId="3" fontId="7" fillId="0" borderId="17" xfId="0" applyNumberFormat="1" applyFont="1" applyBorder="1" applyAlignment="1" applyProtection="1">
      <alignment horizontal="left"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5" xfId="0" applyFont="1" applyBorder="1" applyAlignment="1" applyProtection="1">
      <alignment vertical="center" wrapText="1"/>
    </xf>
    <xf numFmtId="0" fontId="5" fillId="0" borderId="20" xfId="0" applyFont="1" applyBorder="1" applyAlignment="1" applyProtection="1">
      <alignment vertical="center" wrapText="1"/>
    </xf>
    <xf numFmtId="0" fontId="7" fillId="0" borderId="20" xfId="0" applyFont="1" applyBorder="1" applyAlignment="1" applyProtection="1">
      <alignment vertical="top" wrapText="1"/>
    </xf>
    <xf numFmtId="0" fontId="11" fillId="0" borderId="0" xfId="0" applyFont="1" applyFill="1" applyBorder="1" applyAlignment="1" applyProtection="1">
      <alignment horizontal="left"/>
    </xf>
    <xf numFmtId="0" fontId="28" fillId="0" borderId="5" xfId="0" applyFont="1" applyFill="1" applyBorder="1" applyAlignment="1" applyProtection="1">
      <alignment horizontal="left"/>
    </xf>
    <xf numFmtId="0" fontId="28" fillId="0" borderId="21" xfId="0" applyFont="1" applyFill="1" applyBorder="1" applyAlignment="1" applyProtection="1">
      <alignment horizontal="left"/>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7" fillId="0" borderId="0" xfId="0" applyFont="1" applyBorder="1" applyAlignment="1" applyProtection="1">
      <alignment horizontal="left" vertical="center"/>
    </xf>
    <xf numFmtId="0" fontId="7" fillId="0" borderId="20" xfId="0" applyFont="1" applyBorder="1" applyAlignment="1" applyProtection="1">
      <alignment horizontal="left" vertical="center"/>
    </xf>
    <xf numFmtId="3" fontId="4" fillId="4" borderId="27" xfId="1" applyNumberFormat="1" applyFont="1" applyFill="1" applyBorder="1" applyAlignment="1" applyProtection="1">
      <alignment horizontal="left" vertical="top" wrapText="1"/>
      <protection locked="0"/>
    </xf>
    <xf numFmtId="3" fontId="4" fillId="4" borderId="31" xfId="1" applyNumberFormat="1" applyFont="1" applyFill="1" applyBorder="1" applyAlignment="1" applyProtection="1">
      <alignment horizontal="left" vertical="top" wrapText="1"/>
      <protection locked="0"/>
    </xf>
    <xf numFmtId="3" fontId="4" fillId="4" borderId="32" xfId="1" applyNumberFormat="1" applyFont="1" applyFill="1" applyBorder="1" applyAlignment="1" applyProtection="1">
      <alignment horizontal="left" vertical="top" wrapText="1"/>
      <protection locked="0"/>
    </xf>
    <xf numFmtId="165" fontId="4" fillId="0" borderId="29" xfId="1" applyNumberFormat="1" applyFont="1" applyBorder="1" applyAlignment="1" applyProtection="1">
      <alignment horizontal="center" vertical="center"/>
    </xf>
    <xf numFmtId="165" fontId="4" fillId="0" borderId="33" xfId="1" applyNumberFormat="1" applyFont="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26" xfId="0" applyFont="1" applyFill="1" applyBorder="1" applyAlignment="1" applyProtection="1">
      <alignment horizontal="left" vertical="center"/>
    </xf>
    <xf numFmtId="43" fontId="4" fillId="4" borderId="40" xfId="1" applyFont="1" applyFill="1" applyBorder="1" applyAlignment="1" applyProtection="1">
      <alignment vertical="center" wrapText="1"/>
      <protection locked="0"/>
    </xf>
    <xf numFmtId="43" fontId="4" fillId="4" borderId="44" xfId="1" applyFont="1" applyFill="1" applyBorder="1" applyAlignment="1" applyProtection="1">
      <alignment vertical="center" wrapText="1"/>
      <protection locked="0"/>
    </xf>
    <xf numFmtId="165" fontId="4" fillId="2" borderId="4" xfId="1" applyNumberFormat="1" applyFont="1" applyFill="1" applyBorder="1" applyAlignment="1" applyProtection="1">
      <alignment horizontal="center" vertical="center"/>
    </xf>
    <xf numFmtId="165" fontId="4" fillId="2" borderId="17" xfId="1" applyNumberFormat="1" applyFont="1" applyFill="1" applyBorder="1" applyAlignment="1" applyProtection="1">
      <alignment horizontal="center" vertical="center"/>
    </xf>
    <xf numFmtId="0" fontId="9" fillId="0" borderId="40"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30"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xf>
    <xf numFmtId="0" fontId="30" fillId="0" borderId="2" xfId="0" applyFont="1" applyFill="1" applyBorder="1" applyAlignment="1" applyProtection="1">
      <alignment horizontal="left" vertical="center" wrapText="1"/>
    </xf>
    <xf numFmtId="0" fontId="30" fillId="0" borderId="26"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xf>
    <xf numFmtId="0" fontId="4" fillId="0" borderId="20" xfId="0" applyFont="1" applyFill="1" applyBorder="1" applyAlignment="1" applyProtection="1">
      <alignment horizontal="left" vertical="center"/>
    </xf>
    <xf numFmtId="0" fontId="4" fillId="0" borderId="21" xfId="0" applyFont="1" applyFill="1" applyBorder="1" applyAlignment="1" applyProtection="1">
      <alignment horizontal="left" vertical="center"/>
    </xf>
    <xf numFmtId="43" fontId="14" fillId="0" borderId="39" xfId="1" applyFont="1" applyFill="1" applyBorder="1" applyAlignment="1" applyProtection="1">
      <alignment horizontal="center" vertical="center" wrapText="1"/>
    </xf>
    <xf numFmtId="43" fontId="14" fillId="0" borderId="43" xfId="1" applyFont="1" applyFill="1" applyBorder="1" applyAlignment="1" applyProtection="1">
      <alignment horizontal="center" vertical="center" wrapText="1"/>
    </xf>
    <xf numFmtId="165" fontId="4" fillId="4" borderId="42" xfId="1" applyNumberFormat="1" applyFont="1" applyFill="1" applyBorder="1" applyAlignment="1" applyProtection="1">
      <alignment vertical="center"/>
      <protection locked="0"/>
    </xf>
    <xf numFmtId="165" fontId="4" fillId="4" borderId="43" xfId="1" applyNumberFormat="1" applyFont="1" applyFill="1" applyBorder="1" applyAlignment="1" applyProtection="1">
      <alignment vertical="center"/>
      <protection locked="0"/>
    </xf>
    <xf numFmtId="165" fontId="4" fillId="4" borderId="40" xfId="1" applyNumberFormat="1" applyFont="1" applyFill="1" applyBorder="1" applyAlignment="1" applyProtection="1">
      <alignment vertical="center"/>
      <protection locked="0"/>
    </xf>
    <xf numFmtId="165" fontId="4" fillId="4" borderId="44" xfId="1" applyNumberFormat="1" applyFont="1" applyFill="1" applyBorder="1" applyAlignment="1" applyProtection="1">
      <alignment vertical="center"/>
      <protection locked="0"/>
    </xf>
    <xf numFmtId="0" fontId="7" fillId="0" borderId="21" xfId="0" applyFont="1" applyFill="1" applyBorder="1" applyAlignment="1" applyProtection="1">
      <alignment horizontal="left" vertical="center"/>
    </xf>
    <xf numFmtId="0" fontId="14" fillId="0" borderId="39"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14" fillId="2" borderId="39" xfId="0" applyFont="1" applyFill="1" applyBorder="1" applyAlignment="1" applyProtection="1">
      <alignment horizontal="left" vertical="center" wrapText="1"/>
    </xf>
    <xf numFmtId="0" fontId="14" fillId="2" borderId="43"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35"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protection locked="0"/>
    </xf>
    <xf numFmtId="0" fontId="4" fillId="4" borderId="43"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165" fontId="4" fillId="4" borderId="22" xfId="1" applyNumberFormat="1" applyFont="1" applyFill="1" applyBorder="1" applyAlignment="1" applyProtection="1">
      <alignment horizontal="center" vertical="center" wrapText="1"/>
      <protection locked="0"/>
    </xf>
    <xf numFmtId="165" fontId="4" fillId="4" borderId="32" xfId="1" applyNumberFormat="1" applyFont="1" applyFill="1" applyBorder="1" applyAlignment="1" applyProtection="1">
      <alignment horizontal="center" vertical="center" wrapText="1"/>
      <protection locked="0"/>
    </xf>
    <xf numFmtId="165" fontId="4" fillId="4" borderId="1" xfId="1" applyNumberFormat="1" applyFont="1" applyFill="1" applyBorder="1" applyAlignment="1" applyProtection="1">
      <alignment horizontal="center" vertical="center" wrapText="1"/>
      <protection locked="0"/>
    </xf>
    <xf numFmtId="165" fontId="4" fillId="4" borderId="26" xfId="1" applyNumberFormat="1" applyFont="1" applyFill="1" applyBorder="1" applyAlignment="1" applyProtection="1">
      <alignment horizontal="center" vertical="center" wrapText="1"/>
      <protection locked="0"/>
    </xf>
    <xf numFmtId="166" fontId="4" fillId="2" borderId="42" xfId="0" applyNumberFormat="1" applyFont="1" applyFill="1" applyBorder="1" applyAlignment="1" applyProtection="1">
      <alignment horizontal="center" vertical="center" wrapText="1"/>
    </xf>
    <xf numFmtId="166" fontId="4" fillId="2" borderId="43" xfId="0" applyNumberFormat="1" applyFont="1" applyFill="1" applyBorder="1" applyAlignment="1" applyProtection="1">
      <alignment horizontal="center" vertical="center" wrapText="1"/>
    </xf>
    <xf numFmtId="166" fontId="4" fillId="2" borderId="40" xfId="0" applyNumberFormat="1" applyFont="1" applyFill="1" applyBorder="1" applyAlignment="1" applyProtection="1">
      <alignment horizontal="center" vertical="center" wrapText="1"/>
    </xf>
    <xf numFmtId="166" fontId="4" fillId="2" borderId="39" xfId="0" applyNumberFormat="1" applyFont="1" applyFill="1" applyBorder="1" applyAlignment="1" applyProtection="1">
      <alignment horizontal="center" vertical="center" wrapText="1"/>
    </xf>
    <xf numFmtId="165" fontId="4" fillId="4" borderId="7" xfId="1" applyNumberFormat="1" applyFont="1" applyFill="1" applyBorder="1" applyAlignment="1" applyProtection="1">
      <alignment horizontal="center" vertical="center" wrapText="1"/>
      <protection locked="0"/>
    </xf>
    <xf numFmtId="165" fontId="4" fillId="4" borderId="30" xfId="1" applyNumberFormat="1" applyFont="1" applyFill="1" applyBorder="1" applyAlignment="1" applyProtection="1">
      <alignment horizontal="center" vertical="center" wrapText="1"/>
      <protection locked="0"/>
    </xf>
    <xf numFmtId="165" fontId="4" fillId="4" borderId="13" xfId="1" applyNumberFormat="1" applyFont="1" applyFill="1" applyBorder="1" applyAlignment="1" applyProtection="1">
      <alignment horizontal="center" vertical="center" wrapText="1"/>
      <protection locked="0"/>
    </xf>
    <xf numFmtId="165" fontId="4" fillId="4" borderId="16" xfId="1" applyNumberFormat="1" applyFont="1" applyFill="1" applyBorder="1" applyAlignment="1" applyProtection="1">
      <alignment horizontal="center" vertical="center" wrapText="1"/>
      <protection locked="0"/>
    </xf>
    <xf numFmtId="43" fontId="4" fillId="4" borderId="40" xfId="1" applyFont="1" applyFill="1" applyBorder="1" applyAlignment="1" applyProtection="1">
      <alignment horizontal="center" vertical="center"/>
      <protection locked="0"/>
    </xf>
    <xf numFmtId="43" fontId="4" fillId="4" borderId="44" xfId="1" applyFont="1" applyFill="1" applyBorder="1" applyAlignment="1" applyProtection="1">
      <alignment horizontal="center" vertical="center"/>
      <protection locked="0"/>
    </xf>
    <xf numFmtId="43" fontId="4" fillId="4" borderId="42" xfId="1" applyFont="1" applyFill="1" applyBorder="1" applyAlignment="1" applyProtection="1">
      <alignment horizontal="center" vertical="center"/>
      <protection locked="0"/>
    </xf>
    <xf numFmtId="43" fontId="4" fillId="4" borderId="43" xfId="1" applyFont="1" applyFill="1" applyBorder="1" applyAlignment="1" applyProtection="1">
      <alignment horizontal="center" vertical="center"/>
      <protection locked="0"/>
    </xf>
    <xf numFmtId="0" fontId="4" fillId="0" borderId="5"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165" fontId="4" fillId="4" borderId="22"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165" fontId="4" fillId="4" borderId="88" xfId="1" applyNumberFormat="1"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7" fillId="0" borderId="6" xfId="0" applyFont="1" applyFill="1" applyBorder="1" applyAlignment="1" applyProtection="1">
      <alignment horizontal="left" vertical="center"/>
    </xf>
    <xf numFmtId="0" fontId="12" fillId="2" borderId="39"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xf>
    <xf numFmtId="0" fontId="14" fillId="2" borderId="43" xfId="0" applyFont="1" applyFill="1" applyBorder="1" applyAlignment="1" applyProtection="1">
      <alignment horizontal="center" vertical="center" wrapText="1"/>
    </xf>
    <xf numFmtId="165" fontId="30" fillId="0" borderId="7" xfId="1" applyNumberFormat="1" applyFont="1" applyFill="1" applyBorder="1" applyAlignment="1" applyProtection="1">
      <alignment horizontal="center" vertical="center"/>
    </xf>
    <xf numFmtId="165" fontId="30" fillId="0" borderId="1" xfId="1" applyNumberFormat="1" applyFont="1" applyFill="1" applyBorder="1" applyAlignment="1" applyProtection="1">
      <alignment horizontal="center" vertical="center"/>
    </xf>
    <xf numFmtId="43" fontId="14" fillId="0" borderId="40" xfId="1" applyFont="1" applyFill="1" applyBorder="1" applyAlignment="1" applyProtection="1">
      <alignment horizontal="center" vertical="center" wrapText="1"/>
    </xf>
    <xf numFmtId="165" fontId="4" fillId="2" borderId="37" xfId="1" applyNumberFormat="1" applyFont="1" applyFill="1" applyBorder="1" applyAlignment="1" applyProtection="1">
      <alignment vertical="center"/>
    </xf>
    <xf numFmtId="165" fontId="4" fillId="2" borderId="38" xfId="1" applyNumberFormat="1" applyFont="1" applyFill="1" applyBorder="1" applyAlignment="1" applyProtection="1">
      <alignment vertical="center"/>
    </xf>
    <xf numFmtId="165" fontId="4" fillId="2" borderId="36" xfId="1" applyNumberFormat="1" applyFont="1" applyFill="1" applyBorder="1" applyAlignment="1" applyProtection="1">
      <alignment vertical="center"/>
    </xf>
    <xf numFmtId="0" fontId="4" fillId="4" borderId="7"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13"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26"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xf>
    <xf numFmtId="0" fontId="4" fillId="0" borderId="0" xfId="0" applyFont="1" applyFill="1" applyBorder="1" applyAlignment="1" applyProtection="1">
      <alignment vertical="center"/>
    </xf>
    <xf numFmtId="0" fontId="7" fillId="0" borderId="18" xfId="0" applyFont="1" applyFill="1" applyBorder="1" applyAlignment="1" applyProtection="1">
      <alignment horizontal="left" vertical="top" wrapText="1"/>
    </xf>
    <xf numFmtId="0" fontId="7" fillId="0" borderId="24"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40" xfId="0" applyFont="1" applyFill="1" applyBorder="1" applyAlignment="1" applyProtection="1">
      <alignment horizontal="left" vertical="center" wrapText="1"/>
    </xf>
    <xf numFmtId="0" fontId="7" fillId="0" borderId="43" xfId="0" applyFont="1" applyFill="1" applyBorder="1" applyAlignment="1" applyProtection="1">
      <alignment horizontal="left" vertical="center" wrapText="1"/>
    </xf>
    <xf numFmtId="0" fontId="39" fillId="0" borderId="82" xfId="0" applyFont="1" applyFill="1" applyBorder="1" applyAlignment="1" applyProtection="1">
      <alignment horizontal="center" vertical="center" wrapText="1"/>
    </xf>
    <xf numFmtId="0" fontId="39" fillId="0" borderId="81" xfId="0" applyFont="1" applyFill="1" applyBorder="1" applyAlignment="1" applyProtection="1">
      <alignment horizontal="center" vertical="center" wrapText="1"/>
    </xf>
    <xf numFmtId="0" fontId="39" fillId="0" borderId="77" xfId="0" applyFont="1" applyFill="1" applyBorder="1" applyAlignment="1" applyProtection="1">
      <alignment horizontal="center" vertical="center" wrapText="1"/>
    </xf>
    <xf numFmtId="0" fontId="39" fillId="0" borderId="85" xfId="0" applyFont="1" applyFill="1" applyBorder="1" applyAlignment="1" applyProtection="1">
      <alignment horizontal="center" vertical="center" wrapText="1"/>
    </xf>
    <xf numFmtId="165" fontId="4" fillId="2" borderId="42" xfId="1" applyNumberFormat="1" applyFont="1" applyFill="1" applyBorder="1" applyAlignment="1" applyProtection="1">
      <alignment vertical="center"/>
    </xf>
    <xf numFmtId="165" fontId="4" fillId="2" borderId="43" xfId="1" applyNumberFormat="1" applyFont="1" applyFill="1" applyBorder="1" applyAlignment="1" applyProtection="1">
      <alignment vertical="center"/>
    </xf>
    <xf numFmtId="43" fontId="4" fillId="4" borderId="42" xfId="1" applyFont="1" applyFill="1" applyBorder="1" applyAlignment="1" applyProtection="1">
      <alignment vertical="center" wrapText="1"/>
      <protection locked="0"/>
    </xf>
    <xf numFmtId="43" fontId="4" fillId="4" borderId="43" xfId="1" applyFont="1" applyFill="1" applyBorder="1" applyAlignment="1" applyProtection="1">
      <alignment vertical="center" wrapText="1"/>
      <protection locked="0"/>
    </xf>
    <xf numFmtId="165" fontId="4" fillId="2" borderId="22" xfId="1" applyNumberFormat="1" applyFont="1" applyFill="1" applyBorder="1" applyAlignment="1" applyProtection="1">
      <alignment horizontal="center" vertical="center"/>
    </xf>
    <xf numFmtId="165" fontId="4" fillId="2" borderId="32" xfId="1" applyNumberFormat="1" applyFont="1" applyFill="1" applyBorder="1" applyAlignment="1" applyProtection="1">
      <alignment horizontal="center" vertical="center"/>
    </xf>
    <xf numFmtId="165" fontId="4" fillId="2" borderId="11" xfId="1" applyNumberFormat="1" applyFont="1" applyFill="1" applyBorder="1" applyAlignment="1" applyProtection="1">
      <alignment horizontal="center" vertical="center"/>
    </xf>
    <xf numFmtId="165" fontId="4" fillId="2" borderId="12" xfId="1" applyNumberFormat="1" applyFont="1" applyFill="1" applyBorder="1" applyAlignment="1" applyProtection="1">
      <alignment horizontal="center" vertical="center"/>
    </xf>
    <xf numFmtId="0" fontId="14" fillId="2" borderId="27"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165" fontId="4" fillId="2" borderId="40" xfId="1" applyNumberFormat="1" applyFont="1" applyFill="1" applyBorder="1" applyAlignment="1" applyProtection="1">
      <alignment vertical="center"/>
    </xf>
    <xf numFmtId="165" fontId="4" fillId="2" borderId="39" xfId="1" applyNumberFormat="1" applyFont="1" applyFill="1" applyBorder="1" applyAlignment="1" applyProtection="1">
      <alignment vertical="center"/>
    </xf>
    <xf numFmtId="165" fontId="4" fillId="0" borderId="42" xfId="1" applyNumberFormat="1" applyFont="1" applyFill="1" applyBorder="1" applyAlignment="1" applyProtection="1">
      <alignment horizontal="right" vertical="center"/>
    </xf>
    <xf numFmtId="165" fontId="4" fillId="0" borderId="44" xfId="1" applyNumberFormat="1" applyFont="1" applyFill="1" applyBorder="1" applyAlignment="1" applyProtection="1">
      <alignment horizontal="right" vertical="center"/>
    </xf>
    <xf numFmtId="0" fontId="4" fillId="0" borderId="4"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42"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3" fontId="4" fillId="0" borderId="42" xfId="0" applyNumberFormat="1" applyFont="1" applyFill="1" applyBorder="1" applyAlignment="1" applyProtection="1">
      <alignment horizontal="right" vertical="center" wrapText="1"/>
      <protection locked="0"/>
    </xf>
    <xf numFmtId="3" fontId="4" fillId="0" borderId="44" xfId="0" applyNumberFormat="1" applyFont="1" applyFill="1" applyBorder="1" applyAlignment="1" applyProtection="1">
      <alignment horizontal="right" vertical="center" wrapText="1"/>
      <protection locked="0"/>
    </xf>
    <xf numFmtId="3" fontId="4" fillId="0" borderId="22" xfId="0" applyNumberFormat="1" applyFont="1" applyFill="1" applyBorder="1" applyAlignment="1" applyProtection="1">
      <alignment horizontal="right" vertical="center"/>
      <protection locked="0"/>
    </xf>
    <xf numFmtId="3" fontId="4" fillId="0" borderId="32" xfId="0" applyNumberFormat="1" applyFont="1" applyFill="1" applyBorder="1" applyAlignment="1" applyProtection="1">
      <alignment horizontal="right" vertical="center"/>
      <protection locked="0"/>
    </xf>
    <xf numFmtId="3" fontId="4" fillId="0" borderId="13" xfId="0" applyNumberFormat="1" applyFont="1" applyFill="1" applyBorder="1" applyAlignment="1" applyProtection="1">
      <alignment horizontal="right" vertical="center"/>
      <protection locked="0"/>
    </xf>
    <xf numFmtId="3" fontId="4" fillId="0" borderId="16" xfId="0" applyNumberFormat="1" applyFont="1" applyFill="1" applyBorder="1" applyAlignment="1" applyProtection="1">
      <alignment horizontal="right" vertical="center"/>
      <protection locked="0"/>
    </xf>
    <xf numFmtId="166" fontId="4" fillId="0" borderId="42" xfId="0" applyNumberFormat="1" applyFont="1" applyFill="1" applyBorder="1" applyAlignment="1" applyProtection="1">
      <alignment horizontal="right" vertical="center" wrapText="1"/>
      <protection locked="0"/>
    </xf>
    <xf numFmtId="166" fontId="4" fillId="0" borderId="44"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protection locked="0"/>
    </xf>
    <xf numFmtId="3" fontId="4" fillId="0" borderId="17" xfId="0" applyNumberFormat="1" applyFont="1" applyFill="1" applyBorder="1" applyAlignment="1" applyProtection="1">
      <alignment horizontal="right" vertical="center"/>
      <protection locked="0"/>
    </xf>
    <xf numFmtId="3" fontId="4" fillId="0" borderId="1" xfId="0" applyNumberFormat="1" applyFont="1" applyFill="1" applyBorder="1" applyAlignment="1" applyProtection="1">
      <alignment horizontal="right" vertical="center"/>
      <protection locked="0"/>
    </xf>
    <xf numFmtId="3" fontId="4" fillId="0" borderId="26" xfId="0" applyNumberFormat="1" applyFont="1" applyFill="1" applyBorder="1" applyAlignment="1" applyProtection="1">
      <alignment horizontal="right" vertical="center"/>
      <protection locked="0"/>
    </xf>
    <xf numFmtId="3" fontId="4" fillId="0" borderId="27" xfId="0" applyNumberFormat="1" applyFont="1" applyFill="1" applyBorder="1" applyAlignment="1" applyProtection="1">
      <alignment horizontal="right" vertical="center"/>
      <protection locked="0"/>
    </xf>
    <xf numFmtId="3" fontId="4" fillId="0" borderId="35" xfId="0" applyNumberFormat="1" applyFont="1" applyFill="1" applyBorder="1" applyAlignment="1" applyProtection="1">
      <alignment horizontal="right" vertical="center"/>
      <protection locked="0"/>
    </xf>
    <xf numFmtId="0" fontId="7" fillId="0" borderId="2" xfId="0" applyFont="1" applyFill="1" applyBorder="1" applyAlignment="1" applyProtection="1">
      <alignment horizontal="left" vertical="center"/>
    </xf>
    <xf numFmtId="0" fontId="14" fillId="0" borderId="5"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39" xfId="0" applyFont="1" applyFill="1" applyBorder="1" applyAlignment="1" applyProtection="1">
      <alignment horizontal="left" vertical="center" wrapText="1"/>
    </xf>
    <xf numFmtId="3" fontId="4" fillId="0" borderId="39" xfId="0" applyNumberFormat="1" applyFont="1" applyFill="1" applyBorder="1" applyAlignment="1" applyProtection="1">
      <alignment horizontal="right" vertical="center" wrapText="1"/>
      <protection locked="0"/>
    </xf>
    <xf numFmtId="166" fontId="4" fillId="0" borderId="39" xfId="0" applyNumberFormat="1" applyFont="1" applyFill="1" applyBorder="1" applyAlignment="1" applyProtection="1">
      <alignment horizontal="right" vertical="center" wrapText="1"/>
      <protection locked="0"/>
    </xf>
    <xf numFmtId="165" fontId="4" fillId="0" borderId="18" xfId="1" applyNumberFormat="1" applyFont="1" applyFill="1" applyBorder="1" applyAlignment="1" applyProtection="1">
      <alignment horizontal="center" vertical="center"/>
      <protection locked="0"/>
    </xf>
    <xf numFmtId="165" fontId="4" fillId="0" borderId="33" xfId="1" applyNumberFormat="1" applyFont="1" applyFill="1" applyBorder="1" applyAlignment="1" applyProtection="1">
      <alignment horizontal="center" vertical="center"/>
      <protection locked="0"/>
    </xf>
    <xf numFmtId="0" fontId="7" fillId="0" borderId="7"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7" fillId="0" borderId="43"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4" fillId="0" borderId="41"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7" fillId="0" borderId="36" xfId="0" applyFont="1" applyFill="1" applyBorder="1" applyAlignment="1" applyProtection="1">
      <alignment horizontal="left" vertical="top" wrapText="1"/>
    </xf>
    <xf numFmtId="0" fontId="7" fillId="0" borderId="11" xfId="0" applyFont="1" applyFill="1" applyBorder="1" applyAlignment="1" applyProtection="1">
      <alignment horizontal="left" vertical="top" wrapText="1"/>
    </xf>
    <xf numFmtId="0" fontId="14" fillId="0" borderId="41" xfId="0" applyFont="1" applyFill="1" applyBorder="1" applyAlignment="1" applyProtection="1">
      <alignment horizontal="left" vertical="center" wrapText="1"/>
    </xf>
    <xf numFmtId="165" fontId="4" fillId="0" borderId="39" xfId="1" applyNumberFormat="1" applyFont="1" applyFill="1" applyBorder="1" applyAlignment="1" applyProtection="1">
      <alignment horizontal="right" vertical="center"/>
    </xf>
    <xf numFmtId="43" fontId="14" fillId="0" borderId="41" xfId="1" applyFont="1" applyFill="1" applyBorder="1" applyAlignment="1" applyProtection="1">
      <alignment horizontal="left" vertical="center" wrapText="1"/>
    </xf>
    <xf numFmtId="165" fontId="4" fillId="0" borderId="42" xfId="1" applyNumberFormat="1" applyFont="1" applyFill="1" applyBorder="1" applyAlignment="1" applyProtection="1">
      <alignment horizontal="left" vertical="center"/>
    </xf>
    <xf numFmtId="165" fontId="4" fillId="0" borderId="44" xfId="1" applyNumberFormat="1" applyFont="1" applyFill="1" applyBorder="1" applyAlignment="1" applyProtection="1">
      <alignment horizontal="left" vertical="center"/>
    </xf>
    <xf numFmtId="166" fontId="4" fillId="0" borderId="42" xfId="0" applyNumberFormat="1" applyFont="1" applyFill="1" applyBorder="1" applyAlignment="1" applyProtection="1">
      <alignment horizontal="center" vertical="center" wrapText="1"/>
      <protection locked="0"/>
    </xf>
    <xf numFmtId="166" fontId="4" fillId="0" borderId="44"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xf>
    <xf numFmtId="0" fontId="4" fillId="0" borderId="19" xfId="0" applyFont="1" applyFill="1" applyBorder="1" applyAlignment="1" applyProtection="1">
      <alignment horizontal="left" vertical="center"/>
    </xf>
  </cellXfs>
  <cellStyles count="16">
    <cellStyle name="Komma" xfId="1" builtinId="3"/>
    <cellStyle name="Komma 2" xfId="2"/>
    <cellStyle name="Komma 2 2" xfId="10"/>
    <cellStyle name="Komma 3" xfId="6"/>
    <cellStyle name="Komma 4" xfId="8"/>
    <cellStyle name="Link" xfId="15" builtinId="8"/>
    <cellStyle name="Prozent" xfId="14" builtinId="5"/>
    <cellStyle name="Prozent 2" xfId="11"/>
    <cellStyle name="Prozent 3" xfId="12"/>
    <cellStyle name="Standard" xfId="0" builtinId="0"/>
    <cellStyle name="Standard 2" xfId="3"/>
    <cellStyle name="Standard 2 2" xfId="5"/>
    <cellStyle name="Standard 2 3" xfId="9"/>
    <cellStyle name="Standard 3" xfId="4"/>
    <cellStyle name="Standard 3 2" xfId="13"/>
    <cellStyle name="Standard 4" xfId="7"/>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66FF9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59996337778862885"/>
        </patternFill>
      </fill>
    </dxf>
    <dxf>
      <font>
        <color rgb="FF9C6500"/>
      </font>
      <fill>
        <patternFill>
          <bgColor rgb="FFFFEB9C"/>
        </patternFill>
      </fill>
    </dxf>
    <dxf>
      <font>
        <color rgb="FF9C0006"/>
      </font>
      <fill>
        <patternFill>
          <bgColor rgb="FFFFC7CE"/>
        </patternFill>
      </fill>
    </dxf>
    <dxf>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
      <fill>
        <patternFill>
          <bgColor theme="5" tint="0.59996337778862885"/>
        </patternFill>
      </fill>
    </dxf>
    <dxf>
      <font>
        <color rgb="FFC00000"/>
      </font>
      <fill>
        <patternFill>
          <bgColor theme="5" tint="0.59996337778862885"/>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C00000"/>
      </font>
      <fill>
        <patternFill>
          <bgColor theme="5" tint="0.59996337778862885"/>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color rgb="FF9C0006"/>
      </font>
      <fill>
        <patternFill>
          <bgColor rgb="FFFFC7CE"/>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b/>
        <i val="0"/>
        <strike val="0"/>
        <color rgb="FF0E7822"/>
      </font>
      <fill>
        <patternFill>
          <bgColor rgb="FF8EF6A2"/>
        </patternFill>
      </fill>
    </dxf>
    <dxf>
      <font>
        <color rgb="FF9C0006"/>
      </font>
      <fill>
        <patternFill>
          <bgColor rgb="FFFFC7CE"/>
        </patternFill>
      </fill>
    </dxf>
  </dxfs>
  <tableStyles count="0" defaultTableStyle="TableStyleMedium9" defaultPivotStyle="PivotStyleLight16"/>
  <colors>
    <mruColors>
      <color rgb="FFFFFFCC"/>
      <color rgb="FFFFFF99"/>
      <color rgb="FF66FF99"/>
      <color rgb="FFFFE181"/>
      <color rgb="FFFFE07D"/>
      <color rgb="FF8EF6A2"/>
      <color rgb="FF0E78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lex.data.admin.ch/eli/cc/1998/3092_3092_3092" TargetMode="External"/><Relationship Id="rId1" Type="http://schemas.openxmlformats.org/officeDocument/2006/relationships/hyperlink" Target="https://www.fedlex.admin.ch/eli/cc/1998/3033_3033_3033/i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0"/>
  <sheetViews>
    <sheetView showGridLines="0" showRowColHeaders="0" tabSelected="1" zoomScaleNormal="100" workbookViewId="0">
      <selection activeCell="A14" sqref="A14"/>
    </sheetView>
  </sheetViews>
  <sheetFormatPr baseColWidth="10" defaultColWidth="11.42578125" defaultRowHeight="12.75" x14ac:dyDescent="0.2"/>
  <cols>
    <col min="1" max="1" width="21.5703125" customWidth="1"/>
    <col min="2" max="2" width="3.5703125" customWidth="1"/>
    <col min="8" max="8" width="11.7109375" customWidth="1"/>
    <col min="9" max="9" width="0.85546875" customWidth="1"/>
  </cols>
  <sheetData>
    <row r="1" spans="1:8" ht="26.25" customHeight="1" x14ac:dyDescent="0.2">
      <c r="A1" s="905" t="s">
        <v>319</v>
      </c>
      <c r="B1" s="904"/>
      <c r="C1" s="904"/>
      <c r="D1" s="904"/>
      <c r="E1" s="904"/>
      <c r="F1" s="904"/>
      <c r="G1" s="904"/>
      <c r="H1" s="903"/>
    </row>
    <row r="2" spans="1:8" x14ac:dyDescent="0.2">
      <c r="A2" s="868"/>
      <c r="B2" s="868"/>
      <c r="C2" s="868"/>
      <c r="D2" s="868"/>
      <c r="E2" s="868"/>
      <c r="F2" s="868"/>
      <c r="G2" s="868"/>
      <c r="H2" s="868"/>
    </row>
    <row r="3" spans="1:8" ht="15.75" customHeight="1" x14ac:dyDescent="0.2">
      <c r="A3" s="898" t="s">
        <v>318</v>
      </c>
      <c r="B3" s="897"/>
      <c r="C3" s="897"/>
      <c r="D3" s="897"/>
      <c r="E3" s="897"/>
      <c r="F3" s="897"/>
      <c r="G3" s="897"/>
      <c r="H3" s="896"/>
    </row>
    <row r="4" spans="1:8" ht="15.75" customHeight="1" x14ac:dyDescent="0.2">
      <c r="A4" s="902" t="s">
        <v>317</v>
      </c>
      <c r="B4" s="901"/>
      <c r="C4" s="901"/>
      <c r="D4" s="901"/>
      <c r="E4" s="901"/>
      <c r="F4" s="901"/>
      <c r="G4" s="901"/>
      <c r="H4" s="900"/>
    </row>
    <row r="5" spans="1:8" ht="15.75" customHeight="1" x14ac:dyDescent="0.2">
      <c r="A5" s="899" t="s">
        <v>316</v>
      </c>
      <c r="B5" s="876"/>
      <c r="C5" s="876"/>
      <c r="D5" s="876"/>
      <c r="E5" s="876"/>
      <c r="F5" s="876"/>
      <c r="G5" s="876"/>
      <c r="H5" s="875"/>
    </row>
    <row r="6" spans="1:8" x14ac:dyDescent="0.2">
      <c r="A6" s="868"/>
      <c r="B6" s="868"/>
      <c r="C6" s="868"/>
      <c r="D6" s="868"/>
      <c r="E6" s="868"/>
      <c r="F6" s="868"/>
      <c r="G6" s="868"/>
      <c r="H6" s="868"/>
    </row>
    <row r="7" spans="1:8" ht="17.25" customHeight="1" x14ac:dyDescent="0.2">
      <c r="A7" s="898" t="s">
        <v>315</v>
      </c>
      <c r="B7" s="897"/>
      <c r="C7" s="897"/>
      <c r="D7" s="897"/>
      <c r="E7" s="897"/>
      <c r="F7" s="897"/>
      <c r="G7" s="897"/>
      <c r="H7" s="896"/>
    </row>
    <row r="8" spans="1:8" ht="73.5" customHeight="1" x14ac:dyDescent="0.2">
      <c r="A8" s="953" t="s">
        <v>314</v>
      </c>
      <c r="B8" s="954"/>
      <c r="C8" s="954"/>
      <c r="D8" s="954"/>
      <c r="E8" s="954"/>
      <c r="F8" s="954"/>
      <c r="G8" s="954"/>
      <c r="H8" s="955"/>
    </row>
    <row r="9" spans="1:8" x14ac:dyDescent="0.2">
      <c r="A9" s="868"/>
      <c r="B9" s="868"/>
      <c r="C9" s="868"/>
      <c r="D9" s="868"/>
      <c r="E9" s="868"/>
      <c r="F9" s="868"/>
      <c r="G9" s="868"/>
      <c r="H9" s="868"/>
    </row>
    <row r="10" spans="1:8" x14ac:dyDescent="0.2">
      <c r="A10" s="868"/>
      <c r="B10" s="868"/>
      <c r="C10" s="868"/>
      <c r="D10" s="868"/>
      <c r="E10" s="868"/>
      <c r="F10" s="868"/>
      <c r="G10" s="868"/>
      <c r="H10" s="868"/>
    </row>
    <row r="11" spans="1:8" ht="15.75" x14ac:dyDescent="0.25">
      <c r="A11" s="895" t="s">
        <v>313</v>
      </c>
      <c r="B11" s="868"/>
      <c r="C11" s="868"/>
      <c r="D11" s="868"/>
      <c r="E11" s="868"/>
      <c r="F11" s="868"/>
      <c r="G11" s="868"/>
      <c r="H11" s="868"/>
    </row>
    <row r="12" spans="1:8" ht="5.45" customHeight="1" x14ac:dyDescent="0.2">
      <c r="A12" s="868"/>
      <c r="B12" s="868"/>
      <c r="C12" s="868"/>
      <c r="D12" s="868"/>
      <c r="E12" s="868"/>
      <c r="F12" s="868"/>
      <c r="G12" s="868"/>
      <c r="H12" s="868"/>
    </row>
    <row r="13" spans="1:8" s="869" customFormat="1" ht="26.45" customHeight="1" x14ac:dyDescent="0.2">
      <c r="A13" s="894" t="s">
        <v>312</v>
      </c>
      <c r="B13" s="893" t="s">
        <v>311</v>
      </c>
      <c r="C13" s="872"/>
      <c r="D13" s="872"/>
      <c r="E13" s="872"/>
      <c r="F13" s="872"/>
      <c r="G13" s="871"/>
      <c r="H13" s="870"/>
    </row>
    <row r="14" spans="1:8" s="869" customFormat="1" ht="18" customHeight="1" x14ac:dyDescent="0.2">
      <c r="A14" s="873" t="s">
        <v>65</v>
      </c>
      <c r="B14" s="872" t="s">
        <v>61</v>
      </c>
      <c r="C14" s="872"/>
      <c r="D14" s="872"/>
      <c r="E14" s="871"/>
      <c r="F14" s="871"/>
      <c r="G14" s="871"/>
      <c r="H14" s="870"/>
    </row>
    <row r="15" spans="1:8" s="869" customFormat="1" ht="18" customHeight="1" x14ac:dyDescent="0.2">
      <c r="A15" s="873" t="s">
        <v>310</v>
      </c>
      <c r="B15" s="872" t="s">
        <v>309</v>
      </c>
      <c r="C15" s="872"/>
      <c r="D15" s="872"/>
      <c r="E15" s="871"/>
      <c r="F15" s="871"/>
      <c r="G15" s="871"/>
      <c r="H15" s="870"/>
    </row>
    <row r="16" spans="1:8" s="869" customFormat="1" ht="18" customHeight="1" x14ac:dyDescent="0.2">
      <c r="A16" s="873" t="s">
        <v>308</v>
      </c>
      <c r="B16" s="872" t="s">
        <v>307</v>
      </c>
      <c r="C16" s="872"/>
      <c r="D16" s="872"/>
      <c r="E16" s="871"/>
      <c r="F16" s="871"/>
      <c r="G16" s="871"/>
      <c r="H16" s="870"/>
    </row>
    <row r="17" spans="1:10" s="869" customFormat="1" ht="18" customHeight="1" x14ac:dyDescent="0.2">
      <c r="A17" s="873" t="s">
        <v>306</v>
      </c>
      <c r="B17" s="872" t="s">
        <v>305</v>
      </c>
      <c r="C17" s="872"/>
      <c r="D17" s="872"/>
      <c r="E17" s="871"/>
      <c r="F17" s="871"/>
      <c r="G17" s="871"/>
      <c r="H17" s="870"/>
    </row>
    <row r="18" spans="1:10" s="869" customFormat="1" ht="18" customHeight="1" x14ac:dyDescent="0.2">
      <c r="A18" s="873" t="s">
        <v>304</v>
      </c>
      <c r="B18" s="872" t="s">
        <v>303</v>
      </c>
      <c r="C18" s="872"/>
      <c r="D18" s="872"/>
      <c r="E18" s="871"/>
      <c r="F18" s="871"/>
      <c r="G18" s="871"/>
      <c r="H18" s="870"/>
    </row>
    <row r="19" spans="1:10" s="869" customFormat="1" ht="18" customHeight="1" x14ac:dyDescent="0.2">
      <c r="A19" s="892" t="s">
        <v>302</v>
      </c>
      <c r="B19" s="885" t="s">
        <v>301</v>
      </c>
      <c r="C19" s="885"/>
      <c r="D19" s="885"/>
      <c r="E19" s="884"/>
      <c r="F19" s="884"/>
      <c r="G19" s="884"/>
      <c r="H19" s="883"/>
    </row>
    <row r="20" spans="1:10" s="869" customFormat="1" ht="18" customHeight="1" x14ac:dyDescent="0.2">
      <c r="A20" s="890"/>
      <c r="B20" s="881"/>
      <c r="C20" s="889" t="s">
        <v>200</v>
      </c>
      <c r="D20" s="881"/>
      <c r="E20" s="880"/>
      <c r="F20" s="880"/>
      <c r="G20" s="880"/>
      <c r="H20" s="879"/>
      <c r="J20" s="227"/>
    </row>
    <row r="21" spans="1:10" s="869" customFormat="1" ht="18" customHeight="1" x14ac:dyDescent="0.2">
      <c r="A21" s="882"/>
      <c r="B21" s="881"/>
      <c r="C21" s="889" t="s">
        <v>193</v>
      </c>
      <c r="D21" s="881"/>
      <c r="E21" s="880"/>
      <c r="F21" s="880"/>
      <c r="G21" s="880"/>
      <c r="H21" s="879"/>
      <c r="J21" s="90"/>
    </row>
    <row r="22" spans="1:10" s="869" customFormat="1" ht="18" customHeight="1" x14ac:dyDescent="0.2">
      <c r="A22" s="882"/>
      <c r="B22" s="881"/>
      <c r="C22" s="889" t="s">
        <v>194</v>
      </c>
      <c r="D22" s="881"/>
      <c r="E22" s="880"/>
      <c r="F22" s="880"/>
      <c r="G22" s="880"/>
      <c r="H22" s="879"/>
      <c r="J22" s="90"/>
    </row>
    <row r="23" spans="1:10" s="869" customFormat="1" ht="18" customHeight="1" x14ac:dyDescent="0.2">
      <c r="A23" s="882"/>
      <c r="B23" s="881"/>
      <c r="C23" s="889" t="s">
        <v>195</v>
      </c>
      <c r="D23" s="881"/>
      <c r="E23" s="880"/>
      <c r="F23" s="880"/>
      <c r="G23" s="880"/>
      <c r="H23" s="879"/>
      <c r="J23" s="227"/>
    </row>
    <row r="24" spans="1:10" s="869" customFormat="1" ht="18" customHeight="1" x14ac:dyDescent="0.2">
      <c r="A24" s="882"/>
      <c r="B24" s="881"/>
      <c r="C24" s="889" t="s">
        <v>196</v>
      </c>
      <c r="D24" s="881"/>
      <c r="E24" s="880"/>
      <c r="F24" s="880"/>
      <c r="G24" s="880"/>
      <c r="H24" s="879"/>
      <c r="J24" s="90"/>
    </row>
    <row r="25" spans="1:10" s="869" customFormat="1" ht="18" customHeight="1" x14ac:dyDescent="0.2">
      <c r="A25" s="882"/>
      <c r="B25" s="881"/>
      <c r="C25" s="889" t="s">
        <v>280</v>
      </c>
      <c r="D25" s="881"/>
      <c r="E25" s="880"/>
      <c r="F25" s="880"/>
      <c r="G25" s="880"/>
      <c r="H25" s="879"/>
      <c r="J25" s="90"/>
    </row>
    <row r="26" spans="1:10" s="869" customFormat="1" ht="18" customHeight="1" x14ac:dyDescent="0.2">
      <c r="A26" s="882"/>
      <c r="B26" s="881"/>
      <c r="C26" s="889" t="s">
        <v>197</v>
      </c>
      <c r="D26" s="881"/>
      <c r="E26" s="880"/>
      <c r="F26" s="880"/>
      <c r="G26" s="880"/>
      <c r="H26" s="879"/>
      <c r="I26" s="891"/>
      <c r="J26" s="90"/>
    </row>
    <row r="27" spans="1:10" s="869" customFormat="1" ht="18" customHeight="1" x14ac:dyDescent="0.2">
      <c r="A27" s="882"/>
      <c r="B27" s="881"/>
      <c r="C27" s="889" t="s">
        <v>198</v>
      </c>
      <c r="D27" s="881"/>
      <c r="E27" s="880"/>
      <c r="F27" s="880"/>
      <c r="G27" s="880"/>
      <c r="H27" s="879"/>
      <c r="J27" s="90"/>
    </row>
    <row r="28" spans="1:10" s="869" customFormat="1" ht="18" customHeight="1" x14ac:dyDescent="0.2">
      <c r="A28" s="890"/>
      <c r="B28" s="881"/>
      <c r="C28" s="889" t="s">
        <v>262</v>
      </c>
      <c r="D28" s="881"/>
      <c r="E28" s="880"/>
      <c r="F28" s="880"/>
      <c r="G28" s="880"/>
      <c r="H28" s="879"/>
      <c r="J28" s="94"/>
    </row>
    <row r="29" spans="1:10" s="869" customFormat="1" ht="18" customHeight="1" x14ac:dyDescent="0.2">
      <c r="A29" s="882"/>
      <c r="B29" s="881"/>
      <c r="C29" s="889" t="s">
        <v>263</v>
      </c>
      <c r="D29" s="881"/>
      <c r="E29" s="880"/>
      <c r="F29" s="880"/>
      <c r="G29" s="880"/>
      <c r="H29" s="879"/>
    </row>
    <row r="30" spans="1:10" s="869" customFormat="1" ht="18" customHeight="1" x14ac:dyDescent="0.2">
      <c r="A30" s="878"/>
      <c r="B30" s="877"/>
      <c r="C30" s="888" t="s">
        <v>261</v>
      </c>
      <c r="D30" s="877"/>
      <c r="E30" s="876"/>
      <c r="F30" s="876"/>
      <c r="G30" s="876"/>
      <c r="H30" s="875"/>
      <c r="J30" s="90"/>
    </row>
    <row r="31" spans="1:10" s="869" customFormat="1" ht="18" customHeight="1" x14ac:dyDescent="0.2">
      <c r="A31" s="887" t="s">
        <v>300</v>
      </c>
      <c r="B31" s="886" t="s">
        <v>299</v>
      </c>
      <c r="C31" s="885"/>
      <c r="D31" s="885"/>
      <c r="E31" s="884"/>
      <c r="F31" s="884"/>
      <c r="G31" s="884"/>
      <c r="H31" s="883"/>
      <c r="J31" s="94"/>
    </row>
    <row r="32" spans="1:10" s="869" customFormat="1" ht="18" customHeight="1" x14ac:dyDescent="0.2">
      <c r="A32" s="882"/>
      <c r="B32" s="881"/>
      <c r="C32" s="889" t="s">
        <v>262</v>
      </c>
      <c r="D32" s="881"/>
      <c r="E32" s="880"/>
      <c r="F32" s="880"/>
      <c r="G32" s="880"/>
      <c r="H32" s="879"/>
      <c r="J32" s="867"/>
    </row>
    <row r="33" spans="1:10" s="869" customFormat="1" ht="18" customHeight="1" x14ac:dyDescent="0.2">
      <c r="A33" s="882"/>
      <c r="B33" s="881"/>
      <c r="C33" s="889" t="s">
        <v>263</v>
      </c>
      <c r="D33" s="881"/>
      <c r="E33" s="880"/>
      <c r="F33" s="880"/>
      <c r="G33" s="880"/>
      <c r="H33" s="879"/>
      <c r="J33" s="867"/>
    </row>
    <row r="34" spans="1:10" s="869" customFormat="1" ht="18" customHeight="1" x14ac:dyDescent="0.2">
      <c r="A34" s="882"/>
      <c r="B34" s="881"/>
      <c r="C34" s="881" t="s">
        <v>261</v>
      </c>
      <c r="D34" s="881"/>
      <c r="E34" s="880"/>
      <c r="F34" s="880"/>
      <c r="G34" s="880"/>
      <c r="H34" s="879"/>
      <c r="J34" s="90"/>
    </row>
    <row r="35" spans="1:10" s="869" customFormat="1" ht="18" customHeight="1" x14ac:dyDescent="0.2">
      <c r="A35" s="878"/>
      <c r="B35" s="877"/>
      <c r="C35" s="877" t="s">
        <v>290</v>
      </c>
      <c r="D35" s="877"/>
      <c r="E35" s="876"/>
      <c r="F35" s="876"/>
      <c r="G35" s="876"/>
      <c r="H35" s="875"/>
      <c r="J35" s="94"/>
    </row>
    <row r="36" spans="1:10" s="869" customFormat="1" ht="18" customHeight="1" x14ac:dyDescent="0.2">
      <c r="A36" s="874" t="s">
        <v>298</v>
      </c>
      <c r="B36" s="872" t="s">
        <v>211</v>
      </c>
      <c r="C36" s="872"/>
      <c r="D36" s="872"/>
      <c r="E36" s="871"/>
      <c r="F36" s="871"/>
      <c r="G36" s="871"/>
      <c r="H36" s="870"/>
    </row>
    <row r="37" spans="1:10" s="869" customFormat="1" ht="18" customHeight="1" x14ac:dyDescent="0.2">
      <c r="A37" s="874" t="s">
        <v>297</v>
      </c>
      <c r="B37" s="872" t="s">
        <v>296</v>
      </c>
      <c r="C37" s="872"/>
      <c r="D37" s="872"/>
      <c r="E37" s="871"/>
      <c r="F37" s="871"/>
      <c r="G37" s="871"/>
      <c r="H37" s="870"/>
    </row>
    <row r="38" spans="1:10" s="869" customFormat="1" ht="18" customHeight="1" x14ac:dyDescent="0.2"/>
    <row r="39" spans="1:10" x14ac:dyDescent="0.2">
      <c r="A39" s="868"/>
      <c r="B39" s="868"/>
      <c r="C39" s="868"/>
      <c r="D39" s="868"/>
      <c r="E39" s="868"/>
      <c r="F39" s="868"/>
      <c r="G39" s="868"/>
      <c r="H39" s="868"/>
    </row>
    <row r="40" spans="1:10" x14ac:dyDescent="0.2">
      <c r="A40" s="868"/>
      <c r="B40" s="868"/>
      <c r="C40" s="868"/>
      <c r="D40" s="868"/>
      <c r="E40" s="868"/>
      <c r="F40" s="868"/>
      <c r="G40" s="868"/>
      <c r="H40" s="868"/>
    </row>
  </sheetData>
  <sheetProtection algorithmName="SHA-512" hashValue="HyvJg0Ga/Q3PzMhI+SI8bsWaYBFqOqmT/4xoUOKZfdVBefyhGE7oyGFR6DRKahTy8IXNd+6hBZ/qHMgVWqjL/g==" saltValue="dekPrWz1RfE1bWmtRiffxw==" spinCount="100000" sheet="1" objects="1" scenarios="1"/>
  <mergeCells count="1">
    <mergeCell ref="A8:H8"/>
  </mergeCells>
  <hyperlinks>
    <hyperlink ref="A4" r:id="rId1" location="tit_5"/>
    <hyperlink ref="A5" r:id="rId2"/>
    <hyperlink ref="A15" location="'20 aiuto iniziale'!A1" display="20 aiuto iniziale"/>
    <hyperlink ref="A16" location="'30 abitazione'!A1" display="30 abitazione"/>
    <hyperlink ref="A17" location="'32+33 suini e poll.'!A1" display="32+33 suini e poll."/>
    <hyperlink ref="A18" location="'41 UBGFG'!A1" display="41 UBGFG"/>
    <hyperlink ref="A19" location="'div. CI'!A1" display="div. CI"/>
    <hyperlink ref="A31" location="'div. CI &amp; Contributo'!A1" display="'div. CI &amp; Contributo'!A1"/>
    <hyperlink ref="A36" location="'Informazioni importanti'!A1" display="47 edificio alpestre"/>
    <hyperlink ref="A37" location="'73 Obiet. ecol.'!A1" display="'73 Obiet. ecol.'!A1"/>
    <hyperlink ref="A14" location="USM!A1" display="USM!A1"/>
  </hyperlinks>
  <pageMargins left="0.78740157480314965" right="0.59055118110236227" top="0.78740157480314965" bottom="0.59055118110236227" header="0.31496062992125984" footer="0.31496062992125984"/>
  <pageSetup paperSize="9" scale="94" orientation="portrait" r:id="rId3"/>
  <headerFooter alignWithMargins="0">
    <oddHeader>&amp;L&amp;8Ufficio federale dell'agricoltura&amp;R&amp;8Aiuto al calcolo; stato 1.2023</oddHeader>
    <oddFooter>&amp;L&amp;8&amp;D; &amp;T&amp;R&amp;8&amp;A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AA76"/>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1" width="35.42578125" style="84" customWidth="1"/>
    <col min="2" max="2" width="7.5703125" style="84" customWidth="1"/>
    <col min="3" max="3" width="11.7109375" style="84" customWidth="1"/>
    <col min="4" max="4" width="9" style="84" customWidth="1"/>
    <col min="5" max="5" width="12.28515625" style="84" customWidth="1"/>
    <col min="6" max="6" width="11.42578125" style="84" customWidth="1"/>
    <col min="7" max="7" width="11.5703125" style="84" customWidth="1"/>
    <col min="8" max="8" width="11.42578125" style="340" customWidth="1"/>
    <col min="9" max="9" width="10.140625" style="340" customWidth="1"/>
    <col min="10" max="10" width="9.85546875" style="84" customWidth="1"/>
    <col min="11" max="11" width="10.28515625" style="84" customWidth="1"/>
    <col min="12" max="12" width="10.5703125" style="84" customWidth="1"/>
    <col min="13" max="14" width="10.28515625" style="84" customWidth="1"/>
    <col min="15" max="15" width="58.42578125" style="84" customWidth="1"/>
    <col min="16" max="16" width="9.42578125" style="84" customWidth="1"/>
    <col min="17" max="17" width="11.42578125" style="84" customWidth="1"/>
    <col min="18" max="18" width="9.28515625" style="84" customWidth="1"/>
    <col min="19" max="21" width="8.5703125" style="84" customWidth="1"/>
    <col min="22" max="22" width="5" style="84" bestFit="1" customWidth="1"/>
    <col min="23" max="23" width="8.5703125" style="84" customWidth="1"/>
    <col min="24" max="24" width="34.5703125" style="84" customWidth="1"/>
    <col min="25" max="16384" width="11.42578125" style="84"/>
  </cols>
  <sheetData>
    <row r="1" spans="1:24" s="94" customFormat="1" ht="24.75" customHeight="1" x14ac:dyDescent="0.2">
      <c r="A1" s="967" t="s">
        <v>228</v>
      </c>
      <c r="B1" s="1306"/>
      <c r="C1" s="1235"/>
      <c r="D1" s="1235"/>
      <c r="E1" s="1235"/>
      <c r="F1" s="1235"/>
      <c r="G1" s="698"/>
      <c r="H1" s="718"/>
      <c r="I1" s="718"/>
      <c r="J1" s="728"/>
      <c r="K1" s="368"/>
      <c r="L1" s="566"/>
      <c r="M1" s="566"/>
      <c r="N1" s="566"/>
      <c r="P1" s="20"/>
    </row>
    <row r="2" spans="1:24" s="94" customFormat="1" ht="12.75" customHeight="1" x14ac:dyDescent="0.2">
      <c r="A2" s="1307"/>
      <c r="B2" s="1307"/>
      <c r="C2" s="1307"/>
      <c r="D2" s="1307"/>
      <c r="E2" s="1307"/>
      <c r="F2" s="1307"/>
      <c r="G2" s="1307"/>
      <c r="H2" s="1307"/>
      <c r="I2" s="715"/>
      <c r="J2" s="715"/>
      <c r="K2" s="715"/>
      <c r="L2" s="715"/>
      <c r="M2" s="715"/>
      <c r="N2" s="715"/>
    </row>
    <row r="3" spans="1:24" s="94" customFormat="1" ht="12.75" customHeight="1" x14ac:dyDescent="0.2">
      <c r="A3" s="163" t="str">
        <f>'20 aiuto iniziale'!A3:B3</f>
        <v>Richiedente</v>
      </c>
      <c r="B3" s="978">
        <f>USM!B3</f>
        <v>0</v>
      </c>
      <c r="C3" s="979"/>
      <c r="D3" s="979"/>
      <c r="E3" s="979"/>
      <c r="F3" s="979"/>
      <c r="G3" s="979"/>
      <c r="H3" s="979"/>
      <c r="I3" s="979"/>
      <c r="J3" s="979"/>
      <c r="K3" s="980"/>
      <c r="L3" s="551"/>
      <c r="M3" s="551"/>
      <c r="N3" s="551"/>
    </row>
    <row r="4" spans="1:24" s="32" customFormat="1" ht="12.75" customHeight="1" x14ac:dyDescent="0.2">
      <c r="A4" s="164" t="str">
        <f>'20 aiuto iniziale'!A4:B4</f>
        <v>Comune politico</v>
      </c>
      <c r="B4" s="987">
        <f>USM!B4</f>
        <v>0</v>
      </c>
      <c r="C4" s="1038"/>
      <c r="D4" s="1038"/>
      <c r="E4" s="1038"/>
      <c r="F4" s="1038"/>
      <c r="G4" s="1038"/>
      <c r="H4" s="1038"/>
      <c r="I4" s="1038"/>
      <c r="J4" s="1038"/>
      <c r="K4" s="1039"/>
      <c r="L4" s="551"/>
      <c r="M4" s="551"/>
      <c r="N4" s="551"/>
    </row>
    <row r="5" spans="1:24" s="32" customFormat="1" ht="12.75" customHeight="1" x14ac:dyDescent="0.2">
      <c r="A5" s="164" t="str">
        <f>'20 aiuto iniziale'!A5:B5</f>
        <v>N. Cantone</v>
      </c>
      <c r="B5" s="987">
        <f>USM!B5</f>
        <v>0</v>
      </c>
      <c r="C5" s="1038"/>
      <c r="D5" s="1038"/>
      <c r="E5" s="1038"/>
      <c r="F5" s="1038"/>
      <c r="G5" s="1038"/>
      <c r="H5" s="1038"/>
      <c r="I5" s="1038"/>
      <c r="J5" s="1038"/>
      <c r="K5" s="1039"/>
      <c r="L5" s="551"/>
      <c r="M5" s="551"/>
      <c r="N5" s="551"/>
      <c r="P5" s="94"/>
      <c r="Q5" s="94"/>
      <c r="R5" s="94"/>
      <c r="S5" s="94"/>
      <c r="T5" s="94"/>
      <c r="U5" s="94"/>
      <c r="V5" s="94"/>
      <c r="W5" s="94"/>
    </row>
    <row r="6" spans="1:24" s="32" customFormat="1" ht="12.75" customHeight="1" x14ac:dyDescent="0.2">
      <c r="A6" s="165" t="str">
        <f>'20 aiuto iniziale'!A6:B6</f>
        <v>N. CSF eMapis</v>
      </c>
      <c r="B6" s="1195">
        <f>USM!B6</f>
        <v>0</v>
      </c>
      <c r="C6" s="1140"/>
      <c r="D6" s="1140"/>
      <c r="E6" s="1140"/>
      <c r="F6" s="1140"/>
      <c r="G6" s="1140"/>
      <c r="H6" s="1140"/>
      <c r="I6" s="1140"/>
      <c r="J6" s="1140"/>
      <c r="K6" s="1196"/>
      <c r="L6" s="724"/>
      <c r="M6" s="724"/>
      <c r="N6" s="724"/>
      <c r="P6" s="94"/>
      <c r="Q6" s="111"/>
      <c r="R6" s="111"/>
      <c r="S6" s="94"/>
      <c r="T6" s="94"/>
      <c r="U6" s="94"/>
      <c r="V6" s="94"/>
      <c r="W6" s="94"/>
      <c r="X6" s="31"/>
    </row>
    <row r="7" spans="1:24" s="32" customFormat="1" ht="12.75" customHeight="1" x14ac:dyDescent="0.2">
      <c r="A7" s="91" t="str">
        <f>'20 aiuto iniziale'!A7:B7</f>
        <v>Zone</v>
      </c>
      <c r="B7" s="987">
        <f>USM!B7</f>
        <v>0</v>
      </c>
      <c r="C7" s="1038"/>
      <c r="D7" s="1038"/>
      <c r="E7" s="1038"/>
      <c r="F7" s="1038"/>
      <c r="G7" s="1038"/>
      <c r="H7" s="1038"/>
      <c r="I7" s="1038"/>
      <c r="J7" s="1038"/>
      <c r="K7" s="1039"/>
      <c r="L7" s="551"/>
      <c r="M7" s="551"/>
      <c r="N7" s="551"/>
      <c r="P7" s="72"/>
      <c r="Q7" s="114"/>
      <c r="R7" s="114"/>
      <c r="S7" s="94"/>
      <c r="T7" s="94"/>
      <c r="U7" s="94"/>
      <c r="V7" s="94"/>
      <c r="W7" s="94"/>
      <c r="X7" s="31"/>
    </row>
    <row r="8" spans="1:24" s="32" customFormat="1" ht="12.75" customHeight="1" x14ac:dyDescent="0.2">
      <c r="A8" s="740" t="s">
        <v>126</v>
      </c>
      <c r="B8" s="1282"/>
      <c r="C8" s="1283"/>
      <c r="D8" s="1284"/>
      <c r="E8" s="1285"/>
      <c r="F8" s="1285"/>
      <c r="G8" s="1285"/>
      <c r="H8" s="1285"/>
      <c r="I8" s="1285"/>
      <c r="J8" s="1285"/>
      <c r="K8" s="1286"/>
      <c r="L8" s="551"/>
      <c r="M8" s="551"/>
      <c r="N8" s="551"/>
      <c r="P8" s="72"/>
      <c r="Q8" s="114"/>
      <c r="R8" s="114"/>
      <c r="S8" s="94"/>
      <c r="T8" s="94"/>
      <c r="U8" s="94"/>
      <c r="V8" s="94"/>
      <c r="W8" s="94"/>
      <c r="X8" s="31"/>
    </row>
    <row r="9" spans="1:24" s="31" customFormat="1" ht="12.75" customHeight="1" x14ac:dyDescent="0.2">
      <c r="A9" s="622"/>
      <c r="B9" s="622"/>
      <c r="C9" s="851"/>
      <c r="D9" s="851"/>
      <c r="E9" s="851"/>
      <c r="F9" s="622"/>
      <c r="G9" s="622"/>
      <c r="H9" s="852"/>
      <c r="I9" s="852"/>
      <c r="J9" s="621"/>
      <c r="K9" s="621"/>
      <c r="L9" s="715"/>
      <c r="M9" s="715"/>
      <c r="N9" s="715"/>
      <c r="P9" s="115"/>
      <c r="Q9" s="69"/>
      <c r="R9" s="69"/>
      <c r="S9" s="94"/>
      <c r="T9" s="94"/>
      <c r="U9" s="94"/>
      <c r="V9" s="94"/>
      <c r="W9" s="94"/>
    </row>
    <row r="10" spans="1:24" s="31" customFormat="1" ht="12.75" customHeight="1" x14ac:dyDescent="0.2">
      <c r="A10" s="1004" t="s">
        <v>283</v>
      </c>
      <c r="B10" s="1005"/>
      <c r="C10" s="1005"/>
      <c r="D10" s="1005"/>
      <c r="E10" s="1005"/>
      <c r="F10" s="1005"/>
      <c r="G10" s="1005"/>
      <c r="H10" s="1005"/>
      <c r="I10" s="839"/>
      <c r="J10" s="839"/>
      <c r="K10" s="841"/>
      <c r="L10" s="592"/>
      <c r="M10" s="592"/>
      <c r="N10" s="724"/>
      <c r="P10" s="72"/>
      <c r="Q10" s="72"/>
      <c r="R10" s="72"/>
      <c r="S10" s="72"/>
      <c r="T10" s="72"/>
      <c r="U10" s="72"/>
      <c r="V10" s="72"/>
      <c r="W10" s="72"/>
      <c r="X10" s="111"/>
    </row>
    <row r="11" spans="1:24" s="31" customFormat="1" ht="12.75" customHeight="1" x14ac:dyDescent="0.2">
      <c r="A11" s="1246" t="s">
        <v>92</v>
      </c>
      <c r="B11" s="1244" t="s">
        <v>62</v>
      </c>
      <c r="C11" s="1244" t="s">
        <v>229</v>
      </c>
      <c r="D11" s="1244" t="s">
        <v>63</v>
      </c>
      <c r="E11" s="1288" t="s">
        <v>230</v>
      </c>
      <c r="F11" s="1290" t="s">
        <v>157</v>
      </c>
      <c r="G11" s="1290" t="s">
        <v>231</v>
      </c>
      <c r="H11" s="1290" t="s">
        <v>158</v>
      </c>
      <c r="I11" s="1328" t="s">
        <v>232</v>
      </c>
      <c r="J11" s="1329"/>
      <c r="K11" s="1290" t="s">
        <v>138</v>
      </c>
      <c r="L11" s="1316" t="str">
        <f>T13</f>
        <v>Limite max. contributo</v>
      </c>
      <c r="M11" s="1318" t="str">
        <f>U13</f>
        <v>Limite max. CI</v>
      </c>
      <c r="N11" s="543"/>
      <c r="S11" s="364"/>
      <c r="T11" s="364"/>
      <c r="U11" s="364"/>
      <c r="V11" s="364"/>
      <c r="W11" s="364"/>
    </row>
    <row r="12" spans="1:24" s="31" customFormat="1" ht="26.25" customHeight="1" x14ac:dyDescent="0.2">
      <c r="A12" s="1247"/>
      <c r="B12" s="1245"/>
      <c r="C12" s="1245"/>
      <c r="D12" s="1245"/>
      <c r="E12" s="1289"/>
      <c r="F12" s="1291"/>
      <c r="G12" s="1291"/>
      <c r="H12" s="1291"/>
      <c r="I12" s="1330"/>
      <c r="J12" s="1331"/>
      <c r="K12" s="1291"/>
      <c r="L12" s="1317"/>
      <c r="M12" s="1319"/>
      <c r="N12" s="543"/>
      <c r="O12" s="586"/>
      <c r="R12" s="72"/>
      <c r="S12" s="72"/>
      <c r="T12" s="72"/>
      <c r="U12" s="72"/>
      <c r="V12" s="72"/>
    </row>
    <row r="13" spans="1:24" s="31" customFormat="1" ht="26.1" customHeight="1" x14ac:dyDescent="0.2">
      <c r="A13" s="679"/>
      <c r="B13" s="615" t="str">
        <f t="shared" ref="B13:B18" si="0">IF(A13="","",VLOOKUP($A13,$O$14:$V$27,MATCH(B$11,$O$13:$V$13,0),FALSE))</f>
        <v/>
      </c>
      <c r="C13" s="548"/>
      <c r="D13" s="549"/>
      <c r="E13" s="762"/>
      <c r="F13" s="713" t="str">
        <f t="shared" ref="F13:F18" si="1">IF(A13="","",VLOOKUP($A13,$O$14:$V$27,MATCH(F$11,$O$13:$V$13,0),FALSE))</f>
        <v/>
      </c>
      <c r="G13" s="713">
        <f>IF(C13=X13,VLOOKUP($A13,$O$14:$V$27,MATCH(G$11,$O$13:$V$13,0),FALSE),0)</f>
        <v>0</v>
      </c>
      <c r="H13" s="761" t="str">
        <f>IF(L13="","",IF(L13&gt;0,IF(ROUNDDOWN(D13*((100-E13)/100)*(F13+G13),0)&lt;L13,ROUNDDOWN(D13*((100-E13)/100)*(F13+G13),0),L13),ROUNDDOWN(D13*((100-E13)/100)*(F13+G13),0)))</f>
        <v/>
      </c>
      <c r="I13" s="1326" t="str">
        <f t="shared" ref="I13:I18" si="2">IF(A13="","",VLOOKUP($A13,$O$14:$V$27,MATCH(I$11,$O$13:$V$13,0),FALSE))</f>
        <v/>
      </c>
      <c r="J13" s="1327"/>
      <c r="K13" s="711" t="str">
        <f>IF(M13="","",IF(M13&gt;0,IF(ROUNDDOWN(D13*((100-E13)/100)*I13,0)&lt;M13,ROUNDDOWN(D13*((100-E13)/100)*I13,0),M13),ROUNDDOWN(D13*((100-E13)/100)*I13,0)))</f>
        <v/>
      </c>
      <c r="L13" s="601" t="str">
        <f t="shared" ref="L13:L18" si="3">IF(A13="","",VLOOKUP($A13,$O$14:$V$27,MATCH(L$11,$O$13:$V$13,0),FALSE))</f>
        <v/>
      </c>
      <c r="M13" s="602" t="str">
        <f t="shared" ref="M13:M18" si="4">IF(A13="","",VLOOKUP($A13,$O$14:$V$27,MATCH(M$11,$O$13:$V$13,0),FALSE))</f>
        <v/>
      </c>
      <c r="N13" s="89"/>
      <c r="O13" s="545" t="str">
        <f>A11</f>
        <v>Elementi</v>
      </c>
      <c r="P13" s="727" t="str">
        <f>F11</f>
        <v>Contributo per unità</v>
      </c>
      <c r="Q13" s="546" t="str">
        <f>G11</f>
        <v>Supplemento Contributo/unità</v>
      </c>
      <c r="R13" s="546" t="str">
        <f>I11</f>
        <v>CI / unità</v>
      </c>
      <c r="S13" s="546" t="str">
        <f>C11</f>
        <v>Supplemento Sì/No</v>
      </c>
      <c r="T13" s="546" t="s">
        <v>295</v>
      </c>
      <c r="U13" s="546" t="s">
        <v>289</v>
      </c>
      <c r="V13" s="727" t="str">
        <f>B11</f>
        <v>Unità</v>
      </c>
      <c r="W13" s="837"/>
      <c r="X13" s="952" t="s">
        <v>251</v>
      </c>
    </row>
    <row r="14" spans="1:24" s="31" customFormat="1" ht="26.1" customHeight="1" x14ac:dyDescent="0.2">
      <c r="A14" s="680"/>
      <c r="B14" s="616" t="str">
        <f t="shared" si="0"/>
        <v/>
      </c>
      <c r="C14" s="456"/>
      <c r="D14" s="474"/>
      <c r="E14" s="763"/>
      <c r="F14" s="711" t="str">
        <f t="shared" si="1"/>
        <v/>
      </c>
      <c r="G14" s="711">
        <f>IF(C14=X13,VLOOKUP($A14,$O$14:$V$27,MATCH(G$11,$O$13:$V$13,0),FALSE),0)</f>
        <v>0</v>
      </c>
      <c r="H14" s="732" t="str">
        <f t="shared" ref="H14:H18" si="5">IF(L14="","",IF(L14&gt;0,IF(ROUNDDOWN(D14*((100-E14)/100)*(F14+G14),0)&lt;L14,ROUNDDOWN(D14*((100-E14)/100)*(F14+G14),0),L14),ROUNDDOWN(D14*((100-E14)/100)*(F14+G14),0)))</f>
        <v/>
      </c>
      <c r="I14" s="1224" t="str">
        <f t="shared" si="2"/>
        <v/>
      </c>
      <c r="J14" s="1225"/>
      <c r="K14" s="711" t="str">
        <f>IF(M14="","",IF(M14&gt;0,IF(ROUNDDOWN(D14*((100-E14)/100)*I14,0)&lt;M14,ROUNDDOWN(D14*((100-E14)/100)*I14,0),M14),ROUNDDOWN(D14*((100-E14)/100)*I14,0)))</f>
        <v/>
      </c>
      <c r="L14" s="603" t="str">
        <f t="shared" si="3"/>
        <v/>
      </c>
      <c r="M14" s="604" t="str">
        <f t="shared" si="4"/>
        <v/>
      </c>
      <c r="N14" s="89"/>
      <c r="O14" s="483" t="s">
        <v>233</v>
      </c>
      <c r="P14" s="534">
        <v>240</v>
      </c>
      <c r="Q14" s="535">
        <f>P14/2</f>
        <v>120</v>
      </c>
      <c r="R14" s="536">
        <v>120</v>
      </c>
      <c r="S14" s="535" t="s">
        <v>251</v>
      </c>
      <c r="T14" s="535">
        <v>0</v>
      </c>
      <c r="U14" s="535">
        <v>0</v>
      </c>
      <c r="V14" s="529" t="s">
        <v>66</v>
      </c>
      <c r="W14" s="837"/>
      <c r="X14" s="551"/>
    </row>
    <row r="15" spans="1:24" s="31" customFormat="1" ht="26.1" customHeight="1" x14ac:dyDescent="0.2">
      <c r="A15" s="681"/>
      <c r="B15" s="616" t="str">
        <f t="shared" si="0"/>
        <v/>
      </c>
      <c r="C15" s="456"/>
      <c r="D15" s="474"/>
      <c r="E15" s="763"/>
      <c r="F15" s="711" t="str">
        <f t="shared" si="1"/>
        <v/>
      </c>
      <c r="G15" s="711">
        <f>IF(C15=X13,VLOOKUP($A15,$O$14:$V$27,MATCH(G$11,$O$13:$V$13,0),FALSE),0)</f>
        <v>0</v>
      </c>
      <c r="H15" s="732" t="str">
        <f t="shared" si="5"/>
        <v/>
      </c>
      <c r="I15" s="1224" t="str">
        <f t="shared" si="2"/>
        <v/>
      </c>
      <c r="J15" s="1225"/>
      <c r="K15" s="711" t="str">
        <f>IF(M15="","",IF(M15&gt;0,IF(ROUNDDOWN(D15*((100-E15)/100)*I15,0)&lt;M15,ROUNDDOWN(D15*((100-E15)/100)*I15,0),M15),ROUNDDOWN(D15*((100-E15)/100)*I15,0)))</f>
        <v/>
      </c>
      <c r="L15" s="603" t="str">
        <f t="shared" si="3"/>
        <v/>
      </c>
      <c r="M15" s="604" t="str">
        <f t="shared" si="4"/>
        <v/>
      </c>
      <c r="N15" s="89"/>
      <c r="O15" s="526" t="s">
        <v>234</v>
      </c>
      <c r="P15" s="537">
        <v>140</v>
      </c>
      <c r="Q15" s="538">
        <f>P15/2</f>
        <v>70</v>
      </c>
      <c r="R15" s="538">
        <v>70</v>
      </c>
      <c r="S15" s="538" t="s">
        <v>251</v>
      </c>
      <c r="T15" s="538">
        <v>0</v>
      </c>
      <c r="U15" s="538">
        <v>0</v>
      </c>
      <c r="V15" s="722" t="s">
        <v>66</v>
      </c>
      <c r="X15" s="551"/>
    </row>
    <row r="16" spans="1:24" s="31" customFormat="1" ht="26.1" customHeight="1" x14ac:dyDescent="0.2">
      <c r="A16" s="682"/>
      <c r="B16" s="616" t="str">
        <f t="shared" si="0"/>
        <v/>
      </c>
      <c r="C16" s="456"/>
      <c r="D16" s="474"/>
      <c r="E16" s="763"/>
      <c r="F16" s="711" t="str">
        <f t="shared" si="1"/>
        <v/>
      </c>
      <c r="G16" s="711">
        <f>IF(C16=X13,VLOOKUP($A16,$O$14:$V$27,MATCH(G$11,$O$13:$V$13,0),FALSE),0)</f>
        <v>0</v>
      </c>
      <c r="H16" s="732" t="str">
        <f t="shared" si="5"/>
        <v/>
      </c>
      <c r="I16" s="1224" t="str">
        <f t="shared" si="2"/>
        <v/>
      </c>
      <c r="J16" s="1225"/>
      <c r="K16" s="711" t="str">
        <f>IF(M16="","",IF(M16&gt;0,IF(ROUNDDOWN(D16*((100-E16)/100)*I16,0)&lt;M16,ROUNDDOWN(D16*((100-E16)/100)*I16,0),M16),ROUNDDOWN(D16*((100-E16)/100)*I16,0)))</f>
        <v/>
      </c>
      <c r="L16" s="603" t="str">
        <f t="shared" si="3"/>
        <v/>
      </c>
      <c r="M16" s="604" t="str">
        <f t="shared" si="4"/>
        <v/>
      </c>
      <c r="N16" s="89"/>
      <c r="O16" s="287" t="s">
        <v>236</v>
      </c>
      <c r="P16" s="552">
        <v>1000</v>
      </c>
      <c r="Q16" s="539">
        <v>500</v>
      </c>
      <c r="R16" s="539">
        <v>500</v>
      </c>
      <c r="S16" s="538" t="s">
        <v>251</v>
      </c>
      <c r="T16" s="539">
        <v>0</v>
      </c>
      <c r="U16" s="539">
        <v>0</v>
      </c>
      <c r="V16" s="530" t="s">
        <v>66</v>
      </c>
      <c r="X16" s="551"/>
    </row>
    <row r="17" spans="1:27" s="31" customFormat="1" ht="26.1" customHeight="1" x14ac:dyDescent="0.2">
      <c r="A17" s="680"/>
      <c r="B17" s="616" t="str">
        <f t="shared" si="0"/>
        <v/>
      </c>
      <c r="C17" s="547"/>
      <c r="D17" s="474"/>
      <c r="E17" s="763"/>
      <c r="F17" s="711" t="str">
        <f t="shared" si="1"/>
        <v/>
      </c>
      <c r="G17" s="711">
        <f>IF(C17=X13,VLOOKUP($A17,$O$14:$V$27,MATCH(G$11,$O$13:$V$13,0),FALSE),0)</f>
        <v>0</v>
      </c>
      <c r="H17" s="614" t="str">
        <f t="shared" si="5"/>
        <v/>
      </c>
      <c r="I17" s="1224" t="str">
        <f t="shared" si="2"/>
        <v/>
      </c>
      <c r="J17" s="1225"/>
      <c r="K17" s="711" t="str">
        <f t="shared" ref="K17:K18" si="6">IF(M17="","",IF(M17&gt;0,IF(ROUNDDOWN(D17*((100-E17)/100)*I17,0)&lt;M17,ROUNDDOWN(D17*((100-E17)/100)*I17,0),M17),ROUNDDOWN(D17*((100-E17)/100)*I17,0)))</f>
        <v/>
      </c>
      <c r="L17" s="603" t="str">
        <f t="shared" si="3"/>
        <v/>
      </c>
      <c r="M17" s="604" t="str">
        <f t="shared" si="4"/>
        <v/>
      </c>
      <c r="N17" s="89"/>
      <c r="O17" s="287" t="s">
        <v>237</v>
      </c>
      <c r="P17" s="552">
        <v>1000</v>
      </c>
      <c r="Q17" s="539">
        <v>500</v>
      </c>
      <c r="R17" s="539">
        <v>500</v>
      </c>
      <c r="S17" s="538" t="s">
        <v>251</v>
      </c>
      <c r="T17" s="539">
        <v>0</v>
      </c>
      <c r="U17" s="539">
        <v>0</v>
      </c>
      <c r="V17" s="530" t="s">
        <v>66</v>
      </c>
      <c r="X17" s="611"/>
    </row>
    <row r="18" spans="1:27" s="31" customFormat="1" ht="26.1" customHeight="1" x14ac:dyDescent="0.2">
      <c r="A18" s="681"/>
      <c r="B18" s="854" t="str">
        <f t="shared" si="0"/>
        <v/>
      </c>
      <c r="C18" s="842"/>
      <c r="D18" s="497"/>
      <c r="E18" s="855"/>
      <c r="F18" s="840" t="str">
        <f t="shared" si="1"/>
        <v/>
      </c>
      <c r="G18" s="840">
        <f>IF(C18=X13,VLOOKUP($A18,$O$14:$V$27,MATCH(G$11,$O$13:$V$13,0),FALSE),0)</f>
        <v>0</v>
      </c>
      <c r="H18" s="856" t="str">
        <f t="shared" si="5"/>
        <v/>
      </c>
      <c r="I18" s="1324" t="str">
        <f t="shared" si="2"/>
        <v/>
      </c>
      <c r="J18" s="1325"/>
      <c r="K18" s="840" t="str">
        <f t="shared" si="6"/>
        <v/>
      </c>
      <c r="L18" s="605" t="str">
        <f t="shared" si="3"/>
        <v/>
      </c>
      <c r="M18" s="606" t="str">
        <f t="shared" si="4"/>
        <v/>
      </c>
      <c r="N18" s="89"/>
      <c r="O18" s="287" t="s">
        <v>235</v>
      </c>
      <c r="P18" s="552">
        <v>60</v>
      </c>
      <c r="Q18" s="539">
        <v>0</v>
      </c>
      <c r="R18" s="539">
        <v>0</v>
      </c>
      <c r="S18" s="539" t="s">
        <v>252</v>
      </c>
      <c r="T18" s="539">
        <v>0</v>
      </c>
      <c r="U18" s="539">
        <v>0</v>
      </c>
      <c r="V18" s="530" t="s">
        <v>12</v>
      </c>
      <c r="X18" s="551"/>
    </row>
    <row r="19" spans="1:27" s="31" customFormat="1" ht="12.75" customHeight="1" x14ac:dyDescent="0.2">
      <c r="A19" s="446"/>
      <c r="B19" s="621"/>
      <c r="C19" s="621"/>
      <c r="D19" s="621"/>
      <c r="E19" s="621"/>
      <c r="F19" s="621"/>
      <c r="G19" s="852"/>
      <c r="H19" s="852"/>
      <c r="I19" s="621"/>
      <c r="J19" s="621"/>
      <c r="K19" s="360" t="str">
        <f>IF(A19="","",VLOOKUP($A19,$O$14:$V$27,MATCH(L$11,$O$13:$V$13,0),FALSE))</f>
        <v/>
      </c>
      <c r="L19" s="853"/>
      <c r="M19" s="296"/>
      <c r="O19" s="287" t="s">
        <v>238</v>
      </c>
      <c r="P19" s="537">
        <v>150</v>
      </c>
      <c r="Q19" s="538">
        <v>0</v>
      </c>
      <c r="R19" s="538">
        <v>75</v>
      </c>
      <c r="S19" s="538" t="s">
        <v>252</v>
      </c>
      <c r="T19" s="539">
        <v>12000</v>
      </c>
      <c r="U19" s="538">
        <v>6000</v>
      </c>
      <c r="V19" s="530" t="s">
        <v>12</v>
      </c>
      <c r="W19" s="551"/>
      <c r="X19" s="551"/>
    </row>
    <row r="20" spans="1:27" s="31" customFormat="1" ht="12.75" customHeight="1" x14ac:dyDescent="0.2">
      <c r="A20" s="838" t="s">
        <v>284</v>
      </c>
      <c r="B20" s="839"/>
      <c r="C20" s="839"/>
      <c r="D20" s="839"/>
      <c r="E20" s="839"/>
      <c r="F20" s="839"/>
      <c r="G20" s="839"/>
      <c r="H20" s="839"/>
      <c r="I20" s="839"/>
      <c r="J20" s="839"/>
      <c r="K20" s="841"/>
      <c r="L20" s="724"/>
      <c r="M20" s="724"/>
      <c r="O20" s="287" t="s">
        <v>239</v>
      </c>
      <c r="P20" s="552">
        <v>50</v>
      </c>
      <c r="Q20" s="539">
        <v>0</v>
      </c>
      <c r="R20" s="539">
        <v>25</v>
      </c>
      <c r="S20" s="539" t="s">
        <v>252</v>
      </c>
      <c r="T20" s="539">
        <v>4000</v>
      </c>
      <c r="U20" s="538">
        <v>2000</v>
      </c>
      <c r="V20" s="530" t="s">
        <v>12</v>
      </c>
      <c r="W20" s="551"/>
      <c r="X20" s="551"/>
    </row>
    <row r="21" spans="1:27" s="31" customFormat="1" ht="18.75" customHeight="1" x14ac:dyDescent="0.2">
      <c r="A21" s="1248" t="s">
        <v>92</v>
      </c>
      <c r="B21" s="1249"/>
      <c r="C21" s="1244" t="s">
        <v>229</v>
      </c>
      <c r="D21" s="1252" t="str">
        <f>'30 abitazione'!B10</f>
        <v>Costi computabili</v>
      </c>
      <c r="E21" s="1253"/>
      <c r="F21" s="1244" t="s">
        <v>248</v>
      </c>
      <c r="G21" s="1244" t="s">
        <v>250</v>
      </c>
      <c r="H21" s="1238" t="s">
        <v>158</v>
      </c>
      <c r="I21" s="1237" t="s">
        <v>256</v>
      </c>
      <c r="J21" s="1244" t="s">
        <v>257</v>
      </c>
      <c r="K21" s="1244" t="s">
        <v>138</v>
      </c>
      <c r="L21" s="543"/>
      <c r="M21" s="543"/>
      <c r="O21" s="287" t="s">
        <v>240</v>
      </c>
      <c r="P21" s="537">
        <v>500</v>
      </c>
      <c r="Q21" s="538">
        <v>0</v>
      </c>
      <c r="R21" s="538">
        <v>250</v>
      </c>
      <c r="S21" s="538" t="s">
        <v>252</v>
      </c>
      <c r="T21" s="538">
        <v>10000</v>
      </c>
      <c r="U21" s="538">
        <v>0</v>
      </c>
      <c r="V21" s="530" t="s">
        <v>11</v>
      </c>
      <c r="W21" s="551"/>
      <c r="X21" s="551"/>
      <c r="AA21" s="33"/>
    </row>
    <row r="22" spans="1:27" s="31" customFormat="1" ht="19.5" customHeight="1" x14ac:dyDescent="0.2">
      <c r="A22" s="1250"/>
      <c r="B22" s="1251"/>
      <c r="C22" s="1245"/>
      <c r="D22" s="1254"/>
      <c r="E22" s="1255"/>
      <c r="F22" s="1245"/>
      <c r="G22" s="1245"/>
      <c r="H22" s="1294"/>
      <c r="I22" s="1238"/>
      <c r="J22" s="1245"/>
      <c r="K22" s="1245"/>
      <c r="L22" s="543"/>
      <c r="M22" s="543"/>
      <c r="O22" s="91" t="s">
        <v>241</v>
      </c>
      <c r="P22" s="537">
        <v>500</v>
      </c>
      <c r="Q22" s="538">
        <v>0</v>
      </c>
      <c r="R22" s="538">
        <v>250</v>
      </c>
      <c r="S22" s="538" t="s">
        <v>252</v>
      </c>
      <c r="T22" s="538">
        <v>10000</v>
      </c>
      <c r="U22" s="538">
        <v>0</v>
      </c>
      <c r="V22" s="530" t="s">
        <v>12</v>
      </c>
      <c r="W22" s="551"/>
      <c r="X22" s="551"/>
    </row>
    <row r="23" spans="1:27" s="31" customFormat="1" ht="12.95" customHeight="1" x14ac:dyDescent="0.2">
      <c r="A23" s="1298"/>
      <c r="B23" s="1299"/>
      <c r="C23" s="1258"/>
      <c r="D23" s="1268"/>
      <c r="E23" s="1269"/>
      <c r="F23" s="1272"/>
      <c r="G23" s="1266">
        <f>IF(C23=X13,(F23/(VLOOKUP($A23,$O$31:$S$34,MATCH(F$21,$O$29:$S$29,0),FALSE)))*(VLOOKUP($A23,$O$31:$S$34,MATCH(G$21,$O$29:$S$29,0),FALSE)),0)</f>
        <v>0</v>
      </c>
      <c r="H23" s="1297">
        <f>ROUNDDOWN(D23/100*(F23+G23),0)</f>
        <v>0</v>
      </c>
      <c r="I23" s="1241"/>
      <c r="J23" s="1222"/>
      <c r="K23" s="1332">
        <f>ROUNDDOWN((D23-H23-I23)*J23/100,0)</f>
        <v>0</v>
      </c>
      <c r="L23" s="567"/>
      <c r="M23" s="567"/>
      <c r="O23" s="91" t="s">
        <v>242</v>
      </c>
      <c r="P23" s="552">
        <v>14000</v>
      </c>
      <c r="Q23" s="539">
        <v>7000</v>
      </c>
      <c r="R23" s="539">
        <v>7000</v>
      </c>
      <c r="S23" s="539" t="s">
        <v>251</v>
      </c>
      <c r="T23" s="539">
        <v>0</v>
      </c>
      <c r="U23" s="539">
        <v>0</v>
      </c>
      <c r="V23" s="530" t="s">
        <v>2</v>
      </c>
      <c r="W23" s="551"/>
      <c r="X23" s="551"/>
    </row>
    <row r="24" spans="1:27" s="31" customFormat="1" ht="12.95" customHeight="1" x14ac:dyDescent="0.2">
      <c r="A24" s="1300"/>
      <c r="B24" s="1301"/>
      <c r="C24" s="1259"/>
      <c r="D24" s="1270"/>
      <c r="E24" s="1271"/>
      <c r="F24" s="1273"/>
      <c r="G24" s="1267"/>
      <c r="H24" s="1295"/>
      <c r="I24" s="1242"/>
      <c r="J24" s="1223"/>
      <c r="K24" s="1333"/>
      <c r="L24" s="567"/>
      <c r="M24" s="567"/>
      <c r="O24" s="91" t="s">
        <v>243</v>
      </c>
      <c r="P24" s="552">
        <v>20000</v>
      </c>
      <c r="Q24" s="539">
        <v>10000</v>
      </c>
      <c r="R24" s="539">
        <v>10000</v>
      </c>
      <c r="S24" s="539" t="s">
        <v>251</v>
      </c>
      <c r="T24" s="539">
        <v>0</v>
      </c>
      <c r="U24" s="539">
        <v>0</v>
      </c>
      <c r="V24" s="530" t="s">
        <v>2</v>
      </c>
      <c r="W24" s="551"/>
      <c r="X24" s="551"/>
    </row>
    <row r="25" spans="1:27" s="126" customFormat="1" ht="12.95" customHeight="1" x14ac:dyDescent="0.2">
      <c r="A25" s="1302"/>
      <c r="B25" s="1303"/>
      <c r="C25" s="1256"/>
      <c r="D25" s="1260"/>
      <c r="E25" s="1261"/>
      <c r="F25" s="1274"/>
      <c r="G25" s="1264">
        <f>IF(C25=X13,(F25/(VLOOKUP($A25,$O$31:$S$34,MATCH(F$21,$O$29:$S$29,0),FALSE)))*(VLOOKUP($A25,$O$31:$S$34,MATCH(G$21,$O$29:$S$29,0),FALSE)),0)</f>
        <v>0</v>
      </c>
      <c r="H25" s="1295">
        <f>ROUNDDOWN(D25/100*(F25+G25),0)</f>
        <v>0</v>
      </c>
      <c r="I25" s="1239"/>
      <c r="J25" s="1322"/>
      <c r="K25" s="1320">
        <f>ROUNDDOWN((D25-H25-I25)*J25/100,0)</f>
        <v>0</v>
      </c>
      <c r="L25" s="567"/>
      <c r="M25" s="567"/>
      <c r="O25" s="527" t="s">
        <v>246</v>
      </c>
      <c r="P25" s="552">
        <v>10</v>
      </c>
      <c r="Q25" s="539">
        <v>0</v>
      </c>
      <c r="R25" s="539">
        <v>5</v>
      </c>
      <c r="S25" s="539" t="s">
        <v>252</v>
      </c>
      <c r="T25" s="539">
        <v>0</v>
      </c>
      <c r="U25" s="539">
        <v>0</v>
      </c>
      <c r="V25" s="530" t="s">
        <v>11</v>
      </c>
      <c r="W25" s="551"/>
      <c r="X25" s="551"/>
    </row>
    <row r="26" spans="1:27" s="126" customFormat="1" ht="12.95" customHeight="1" x14ac:dyDescent="0.2">
      <c r="A26" s="1304"/>
      <c r="B26" s="1305"/>
      <c r="C26" s="1257"/>
      <c r="D26" s="1262"/>
      <c r="E26" s="1263"/>
      <c r="F26" s="1275"/>
      <c r="G26" s="1265"/>
      <c r="H26" s="1296"/>
      <c r="I26" s="1240"/>
      <c r="J26" s="1323"/>
      <c r="K26" s="1321"/>
      <c r="L26" s="567"/>
      <c r="M26" s="567"/>
      <c r="O26" s="533"/>
      <c r="P26" s="552"/>
      <c r="Q26" s="539"/>
      <c r="R26" s="539"/>
      <c r="S26" s="539"/>
      <c r="T26" s="539"/>
      <c r="U26" s="539"/>
      <c r="V26" s="532"/>
      <c r="W26" s="551"/>
      <c r="X26" s="551"/>
    </row>
    <row r="27" spans="1:27" s="126" customFormat="1" ht="12.95" customHeight="1" x14ac:dyDescent="0.2">
      <c r="A27" s="1276"/>
      <c r="B27" s="1277"/>
      <c r="C27" s="1277"/>
      <c r="D27" s="1277"/>
      <c r="E27" s="1277"/>
      <c r="F27" s="1277"/>
      <c r="G27" s="1278"/>
      <c r="H27" s="134"/>
      <c r="I27" s="134"/>
      <c r="J27" s="134"/>
      <c r="K27" s="542"/>
      <c r="L27" s="567"/>
      <c r="M27" s="567"/>
      <c r="O27" s="528"/>
      <c r="P27" s="540"/>
      <c r="Q27" s="541"/>
      <c r="R27" s="541"/>
      <c r="S27" s="541"/>
      <c r="T27" s="541"/>
      <c r="U27" s="541"/>
      <c r="V27" s="531"/>
      <c r="W27" s="551"/>
      <c r="X27" s="551"/>
    </row>
    <row r="28" spans="1:27" s="126" customFormat="1" ht="12.95" customHeight="1" x14ac:dyDescent="0.2">
      <c r="A28" s="1279" t="s">
        <v>135</v>
      </c>
      <c r="B28" s="1280"/>
      <c r="C28" s="1280"/>
      <c r="D28" s="1280"/>
      <c r="E28" s="1280"/>
      <c r="F28" s="1280"/>
      <c r="G28" s="1281"/>
      <c r="H28" s="555">
        <f>SUM(H23:H26,H13:H18)</f>
        <v>0</v>
      </c>
      <c r="I28" s="555"/>
      <c r="J28" s="306"/>
      <c r="K28" s="306">
        <f>ROUNDDOWN(SUM(K13:K18,K23:K26),0)</f>
        <v>0</v>
      </c>
      <c r="L28" s="567"/>
      <c r="M28" s="567"/>
      <c r="W28" s="544"/>
      <c r="X28" s="544"/>
    </row>
    <row r="29" spans="1:27" s="126" customFormat="1" ht="12.95" customHeight="1" x14ac:dyDescent="0.2">
      <c r="A29" s="1228" t="s">
        <v>253</v>
      </c>
      <c r="B29" s="1229"/>
      <c r="C29" s="1229"/>
      <c r="D29" s="1229"/>
      <c r="E29" s="1229"/>
      <c r="F29" s="1229"/>
      <c r="G29" s="1230"/>
      <c r="H29" s="1292">
        <f>IF(C13=X13,ROUNDDOWN(D13*((100-E13)/100)*G13,0),0)+IF(C14=X13,ROUNDDOWN(D14*((100-E14)/100)*G14,0),0)+IF(C15=X13,ROUNDDOWN(D15*((100-E15)/100)*G15,0),0)+IF(C16=X13,ROUNDDOWN(D16*((100-E16)/100)*G16,0),0)+IF(C17=X13,ROUNDDOWN(D17*((100-E17)/100)*G17,0),0)+IF(C18=X13,ROUNDDOWN(D18*((100-E18)/100)*G18,0),0)+IF(G23&gt;0,ROUNDDOWN(G23*D23/100,0),0)+IF(G25&gt;0,ROUNDDOWN(G25*D25/100,0),0)</f>
        <v>0</v>
      </c>
      <c r="I29" s="563"/>
      <c r="J29" s="425"/>
      <c r="K29" s="365"/>
      <c r="L29" s="567"/>
      <c r="M29" s="567"/>
      <c r="O29" s="1226" t="str">
        <f>A21</f>
        <v>Elementi</v>
      </c>
      <c r="P29" s="1002" t="str">
        <f>F21</f>
        <v>Aliquota contributi max.50%</v>
      </c>
      <c r="Q29" s="1002" t="str">
        <f>G21</f>
        <v>Supplemento max.25%</v>
      </c>
      <c r="R29" s="1002" t="str">
        <f>J21</f>
        <v>Aliquote CI
max. 50 %</v>
      </c>
      <c r="S29" s="1002" t="str">
        <f>C21</f>
        <v>Supplemento Sì/No</v>
      </c>
      <c r="T29" s="596"/>
      <c r="U29" s="543"/>
      <c r="V29" s="543"/>
      <c r="W29" s="366"/>
      <c r="X29" s="366"/>
    </row>
    <row r="30" spans="1:27" s="126" customFormat="1" ht="12.95" customHeight="1" x14ac:dyDescent="0.2">
      <c r="A30" s="1231"/>
      <c r="B30" s="1232"/>
      <c r="C30" s="1232"/>
      <c r="D30" s="1232"/>
      <c r="E30" s="1232"/>
      <c r="F30" s="1232"/>
      <c r="G30" s="1233"/>
      <c r="H30" s="1293"/>
      <c r="I30" s="564"/>
      <c r="J30" s="309"/>
      <c r="K30" s="309"/>
      <c r="L30" s="567"/>
      <c r="M30" s="567"/>
      <c r="O30" s="1227"/>
      <c r="P30" s="1003"/>
      <c r="Q30" s="1003"/>
      <c r="R30" s="1003"/>
      <c r="S30" s="1003"/>
      <c r="T30" s="596"/>
      <c r="U30" s="543"/>
      <c r="V30" s="543"/>
      <c r="X30" s="133"/>
    </row>
    <row r="31" spans="1:27" s="126" customFormat="1" ht="25.5" customHeight="1" x14ac:dyDescent="0.2">
      <c r="A31" s="1234" t="s">
        <v>254</v>
      </c>
      <c r="B31" s="1235"/>
      <c r="C31" s="1235"/>
      <c r="D31" s="1235"/>
      <c r="E31" s="1235"/>
      <c r="F31" s="1235"/>
      <c r="G31" s="1236"/>
      <c r="H31" s="556"/>
      <c r="I31" s="565"/>
      <c r="J31" s="554"/>
      <c r="K31" s="558"/>
      <c r="L31" s="568"/>
      <c r="M31" s="568"/>
      <c r="O31" s="138" t="s">
        <v>244</v>
      </c>
      <c r="P31" s="600">
        <v>50</v>
      </c>
      <c r="Q31" s="553">
        <v>25</v>
      </c>
      <c r="R31" s="553">
        <v>50</v>
      </c>
      <c r="S31" s="598" t="s">
        <v>251</v>
      </c>
      <c r="T31" s="544"/>
      <c r="U31" s="544"/>
      <c r="V31" s="544"/>
      <c r="X31" s="31"/>
    </row>
    <row r="32" spans="1:27" s="126" customFormat="1" ht="25.5" customHeight="1" x14ac:dyDescent="0.2">
      <c r="A32" s="1004" t="s">
        <v>137</v>
      </c>
      <c r="B32" s="1005"/>
      <c r="C32" s="1005"/>
      <c r="D32" s="1005"/>
      <c r="E32" s="1005"/>
      <c r="F32" s="1005"/>
      <c r="G32" s="1243"/>
      <c r="H32" s="557">
        <f>H34+H35</f>
        <v>0</v>
      </c>
      <c r="I32" s="557"/>
      <c r="J32" s="369"/>
      <c r="K32" s="369">
        <f>ROUNDDOWN(K28+K31,0)</f>
        <v>0</v>
      </c>
      <c r="L32" s="568"/>
      <c r="M32" s="568"/>
      <c r="O32" s="744" t="s">
        <v>245</v>
      </c>
      <c r="P32" s="743">
        <v>50</v>
      </c>
      <c r="Q32" s="743">
        <v>0</v>
      </c>
      <c r="R32" s="743">
        <v>50</v>
      </c>
      <c r="S32" s="599" t="s">
        <v>252</v>
      </c>
      <c r="T32" s="544"/>
      <c r="U32" s="544"/>
      <c r="V32" s="544"/>
      <c r="X32" s="20"/>
    </row>
    <row r="33" spans="1:25" s="20" customFormat="1" ht="15.75" customHeight="1" x14ac:dyDescent="0.2">
      <c r="A33" s="572"/>
      <c r="B33" s="573"/>
      <c r="C33" s="573"/>
      <c r="D33" s="573"/>
      <c r="E33" s="573"/>
      <c r="F33" s="573"/>
      <c r="G33" s="574"/>
      <c r="H33" s="320"/>
      <c r="I33" s="33"/>
      <c r="J33" s="321"/>
      <c r="K33" s="322"/>
      <c r="L33" s="559"/>
      <c r="M33" s="559"/>
      <c r="N33" s="26"/>
      <c r="O33" s="723" t="s">
        <v>247</v>
      </c>
      <c r="P33" s="721">
        <v>50</v>
      </c>
      <c r="Q33" s="721">
        <v>0</v>
      </c>
      <c r="R33" s="721">
        <v>50</v>
      </c>
      <c r="S33" s="599" t="s">
        <v>252</v>
      </c>
      <c r="T33" s="544"/>
      <c r="U33" s="544"/>
      <c r="V33" s="544"/>
      <c r="W33" s="126"/>
      <c r="Y33" s="126"/>
    </row>
    <row r="34" spans="1:25" s="20" customFormat="1" ht="15" customHeight="1" x14ac:dyDescent="0.2">
      <c r="A34" s="1314" t="s">
        <v>255</v>
      </c>
      <c r="B34" s="1311" t="s">
        <v>178</v>
      </c>
      <c r="C34" s="1312"/>
      <c r="D34" s="1312"/>
      <c r="E34" s="1312"/>
      <c r="F34" s="1312"/>
      <c r="G34" s="1313"/>
      <c r="H34" s="324">
        <f>ROUNDDOWN((H28-H29)/2+H31+H29,0)</f>
        <v>0</v>
      </c>
      <c r="I34" s="33"/>
      <c r="J34" s="321"/>
      <c r="K34" s="322"/>
      <c r="L34" s="559"/>
      <c r="M34" s="559"/>
      <c r="N34" s="26"/>
      <c r="O34" s="668"/>
      <c r="P34" s="134"/>
      <c r="Q34" s="134"/>
      <c r="R34" s="134"/>
      <c r="S34" s="597"/>
      <c r="T34" s="544"/>
      <c r="U34" s="544"/>
      <c r="V34" s="544"/>
      <c r="X34" s="31"/>
      <c r="Y34" s="126"/>
    </row>
    <row r="35" spans="1:25" s="126" customFormat="1" ht="15.75" customHeight="1" x14ac:dyDescent="0.2">
      <c r="A35" s="1315"/>
      <c r="B35" s="1308" t="s">
        <v>179</v>
      </c>
      <c r="C35" s="1309"/>
      <c r="D35" s="1309"/>
      <c r="E35" s="1309"/>
      <c r="F35" s="1309"/>
      <c r="G35" s="1310"/>
      <c r="H35" s="327">
        <f>IF(H34-H29&lt;0,0,H34-H29)</f>
        <v>0</v>
      </c>
      <c r="I35" s="617"/>
      <c r="J35" s="618"/>
      <c r="K35" s="619"/>
      <c r="L35" s="560"/>
      <c r="M35" s="560"/>
      <c r="P35" s="544"/>
      <c r="Q35" s="567"/>
      <c r="R35" s="567"/>
      <c r="S35" s="567"/>
      <c r="T35" s="544"/>
      <c r="U35" s="544"/>
      <c r="V35" s="544"/>
      <c r="W35" s="20"/>
      <c r="X35" s="31"/>
    </row>
    <row r="36" spans="1:25" s="126" customFormat="1" ht="15" customHeight="1" x14ac:dyDescent="0.2">
      <c r="A36" s="620"/>
      <c r="B36" s="107"/>
      <c r="C36" s="107"/>
      <c r="D36" s="107"/>
      <c r="E36" s="107"/>
      <c r="F36" s="107"/>
      <c r="G36" s="107"/>
      <c r="H36" s="131"/>
      <c r="I36" s="131"/>
      <c r="J36" s="107"/>
      <c r="K36" s="620"/>
      <c r="L36" s="107"/>
      <c r="M36" s="561"/>
      <c r="N36" s="561"/>
      <c r="P36" s="31"/>
      <c r="U36" s="544"/>
      <c r="V36" s="544"/>
      <c r="X36" s="31"/>
    </row>
    <row r="37" spans="1:25" s="126" customFormat="1" ht="15" x14ac:dyDescent="0.2">
      <c r="A37" s="993" t="s">
        <v>83</v>
      </c>
      <c r="B37" s="1287"/>
      <c r="C37" s="1287"/>
      <c r="D37" s="1287"/>
      <c r="E37" s="1287"/>
      <c r="F37" s="1287"/>
      <c r="G37" s="1287"/>
      <c r="H37" s="1287"/>
      <c r="I37" s="1287"/>
      <c r="J37" s="1287"/>
      <c r="K37" s="1220"/>
      <c r="L37" s="724"/>
      <c r="M37" s="561"/>
      <c r="N37" s="561"/>
    </row>
    <row r="38" spans="1:25" s="133" customFormat="1" ht="15" customHeight="1" x14ac:dyDescent="0.2">
      <c r="A38" s="1092"/>
      <c r="B38" s="1090"/>
      <c r="C38" s="1090"/>
      <c r="D38" s="1090"/>
      <c r="E38" s="1090"/>
      <c r="F38" s="1090"/>
      <c r="G38" s="1090"/>
      <c r="H38" s="1090"/>
      <c r="I38" s="1090"/>
      <c r="J38" s="1090"/>
      <c r="K38" s="1091"/>
      <c r="L38" s="611"/>
      <c r="M38" s="562"/>
      <c r="N38" s="562"/>
      <c r="O38" s="850"/>
      <c r="Y38" s="20"/>
    </row>
    <row r="39" spans="1:25" s="31" customFormat="1" ht="12.75" customHeight="1" x14ac:dyDescent="0.2">
      <c r="A39" s="1092"/>
      <c r="B39" s="1090"/>
      <c r="C39" s="1090"/>
      <c r="D39" s="1090"/>
      <c r="E39" s="1090"/>
      <c r="F39" s="1090"/>
      <c r="G39" s="1090"/>
      <c r="H39" s="1090"/>
      <c r="I39" s="1090"/>
      <c r="J39" s="1090"/>
      <c r="K39" s="1091"/>
      <c r="L39" s="611"/>
      <c r="M39" s="321"/>
      <c r="N39" s="321"/>
      <c r="O39" s="850"/>
      <c r="Y39" s="20"/>
    </row>
    <row r="40" spans="1:25" s="31" customFormat="1" ht="12.75" customHeight="1" x14ac:dyDescent="0.2">
      <c r="A40" s="1092"/>
      <c r="B40" s="1090"/>
      <c r="C40" s="1090"/>
      <c r="D40" s="1090"/>
      <c r="E40" s="1090"/>
      <c r="F40" s="1090"/>
      <c r="G40" s="1090"/>
      <c r="H40" s="1090"/>
      <c r="I40" s="1090"/>
      <c r="J40" s="1090"/>
      <c r="K40" s="1091"/>
      <c r="L40" s="611"/>
      <c r="M40" s="321"/>
      <c r="N40" s="321"/>
      <c r="O40" s="850"/>
      <c r="Y40" s="126"/>
    </row>
    <row r="41" spans="1:25" s="31" customFormat="1" ht="12.75" customHeight="1" x14ac:dyDescent="0.2">
      <c r="A41" s="1092"/>
      <c r="B41" s="1090"/>
      <c r="C41" s="1090"/>
      <c r="D41" s="1090"/>
      <c r="E41" s="1090"/>
      <c r="F41" s="1090"/>
      <c r="G41" s="1090"/>
      <c r="H41" s="1090"/>
      <c r="I41" s="1090"/>
      <c r="J41" s="1090"/>
      <c r="K41" s="1091"/>
      <c r="L41" s="611"/>
      <c r="M41" s="321"/>
      <c r="N41" s="321"/>
      <c r="O41" s="850"/>
      <c r="P41" s="550"/>
    </row>
    <row r="42" spans="1:25" s="31" customFormat="1" ht="12.75" customHeight="1" x14ac:dyDescent="0.2">
      <c r="A42" s="1092"/>
      <c r="B42" s="1090"/>
      <c r="C42" s="1090"/>
      <c r="D42" s="1090"/>
      <c r="E42" s="1090"/>
      <c r="F42" s="1090"/>
      <c r="G42" s="1090"/>
      <c r="H42" s="1090"/>
      <c r="I42" s="1090"/>
      <c r="J42" s="1090"/>
      <c r="K42" s="1091"/>
      <c r="L42" s="611"/>
      <c r="M42" s="107"/>
      <c r="N42" s="107"/>
      <c r="O42" s="850"/>
      <c r="P42" s="39"/>
      <c r="Q42" s="39"/>
      <c r="R42" s="39"/>
      <c r="S42" s="39"/>
      <c r="T42" s="39"/>
    </row>
    <row r="43" spans="1:25" s="31" customFormat="1" ht="12.75" customHeight="1" x14ac:dyDescent="0.2">
      <c r="A43" s="1092"/>
      <c r="B43" s="1090"/>
      <c r="C43" s="1090"/>
      <c r="D43" s="1090"/>
      <c r="E43" s="1090"/>
      <c r="F43" s="1090"/>
      <c r="G43" s="1090"/>
      <c r="H43" s="1090"/>
      <c r="I43" s="1090"/>
      <c r="J43" s="1090"/>
      <c r="K43" s="1091"/>
      <c r="L43" s="611"/>
      <c r="M43" s="724"/>
      <c r="N43" s="724"/>
      <c r="O43" s="850"/>
      <c r="P43" s="39"/>
      <c r="Q43" s="39"/>
      <c r="R43" s="39"/>
      <c r="S43" s="39"/>
      <c r="T43" s="39"/>
      <c r="U43" s="39"/>
      <c r="V43" s="39"/>
      <c r="X43" s="325"/>
    </row>
    <row r="44" spans="1:25" s="31" customFormat="1" ht="12.75" customHeight="1" x14ac:dyDescent="0.2">
      <c r="A44" s="1092"/>
      <c r="B44" s="1090"/>
      <c r="C44" s="1090"/>
      <c r="D44" s="1090"/>
      <c r="E44" s="1090"/>
      <c r="F44" s="1090"/>
      <c r="G44" s="1090"/>
      <c r="H44" s="1090"/>
      <c r="I44" s="1090"/>
      <c r="J44" s="1090"/>
      <c r="K44" s="1091"/>
      <c r="L44" s="611"/>
      <c r="M44" s="611"/>
      <c r="N44" s="611"/>
      <c r="O44" s="132"/>
      <c r="P44" s="39"/>
      <c r="Q44" s="39"/>
      <c r="R44" s="39"/>
      <c r="S44" s="39"/>
      <c r="T44" s="39"/>
      <c r="U44" s="39"/>
      <c r="V44" s="39"/>
      <c r="X44" s="328"/>
    </row>
    <row r="45" spans="1:25" s="31" customFormat="1" ht="12.75" customHeight="1" x14ac:dyDescent="0.2">
      <c r="A45" s="1092"/>
      <c r="B45" s="1090"/>
      <c r="C45" s="1090"/>
      <c r="D45" s="1090"/>
      <c r="E45" s="1090"/>
      <c r="F45" s="1090"/>
      <c r="G45" s="1090"/>
      <c r="H45" s="1090"/>
      <c r="I45" s="1090"/>
      <c r="J45" s="1090"/>
      <c r="K45" s="1091"/>
      <c r="L45" s="611"/>
      <c r="M45" s="611"/>
      <c r="N45" s="611"/>
      <c r="O45" s="36"/>
      <c r="P45" s="36"/>
      <c r="Q45" s="36"/>
      <c r="R45" s="36"/>
      <c r="S45" s="36"/>
      <c r="T45" s="36"/>
      <c r="U45" s="39"/>
      <c r="V45" s="39"/>
      <c r="W45" s="39"/>
      <c r="X45" s="278"/>
    </row>
    <row r="46" spans="1:25" s="36" customFormat="1" ht="18" customHeight="1" x14ac:dyDescent="0.2">
      <c r="A46" s="1092"/>
      <c r="B46" s="1090"/>
      <c r="C46" s="1090"/>
      <c r="D46" s="1090"/>
      <c r="E46" s="1090"/>
      <c r="F46" s="1090"/>
      <c r="G46" s="1090"/>
      <c r="H46" s="1090"/>
      <c r="I46" s="1090"/>
      <c r="J46" s="1090"/>
      <c r="K46" s="1091"/>
      <c r="L46" s="611"/>
      <c r="M46" s="611"/>
      <c r="N46" s="611"/>
      <c r="O46" s="715"/>
      <c r="X46" s="278"/>
    </row>
    <row r="47" spans="1:25" s="36" customFormat="1" ht="12.75" customHeight="1" x14ac:dyDescent="0.2">
      <c r="A47" s="1092"/>
      <c r="B47" s="1090"/>
      <c r="C47" s="1090"/>
      <c r="D47" s="1090"/>
      <c r="E47" s="1090"/>
      <c r="F47" s="1090"/>
      <c r="G47" s="1090"/>
      <c r="H47" s="1090"/>
      <c r="I47" s="1090"/>
      <c r="J47" s="1090"/>
      <c r="K47" s="1091"/>
      <c r="L47" s="611"/>
      <c r="M47" s="611"/>
      <c r="N47" s="611"/>
      <c r="O47" s="278"/>
      <c r="P47" s="715"/>
      <c r="Q47" s="715"/>
      <c r="R47" s="715"/>
      <c r="S47" s="715"/>
      <c r="T47" s="715"/>
      <c r="X47" s="278"/>
    </row>
    <row r="48" spans="1:25" s="715" customFormat="1" ht="12.75" customHeight="1" x14ac:dyDescent="0.2">
      <c r="A48" s="1092"/>
      <c r="B48" s="1090"/>
      <c r="C48" s="1090"/>
      <c r="D48" s="1090"/>
      <c r="E48" s="1090"/>
      <c r="F48" s="1090"/>
      <c r="G48" s="1090"/>
      <c r="H48" s="1090"/>
      <c r="I48" s="1090"/>
      <c r="J48" s="1090"/>
      <c r="K48" s="1091"/>
      <c r="L48" s="611"/>
      <c r="M48" s="611"/>
      <c r="N48" s="611"/>
      <c r="O48" s="278"/>
      <c r="P48" s="278"/>
      <c r="Q48" s="278"/>
      <c r="R48" s="278"/>
      <c r="S48" s="278"/>
      <c r="T48" s="278"/>
      <c r="X48" s="278"/>
    </row>
    <row r="49" spans="1:14" s="278" customFormat="1" ht="12.75" customHeight="1" x14ac:dyDescent="0.2">
      <c r="A49" s="1092"/>
      <c r="B49" s="1090"/>
      <c r="C49" s="1090"/>
      <c r="D49" s="1090"/>
      <c r="E49" s="1090"/>
      <c r="F49" s="1090"/>
      <c r="G49" s="1090"/>
      <c r="H49" s="1090"/>
      <c r="I49" s="1090"/>
      <c r="J49" s="1090"/>
      <c r="K49" s="1091"/>
      <c r="L49" s="611"/>
      <c r="M49" s="611"/>
      <c r="N49" s="611"/>
    </row>
    <row r="50" spans="1:14" s="278" customFormat="1" ht="12.75" customHeight="1" x14ac:dyDescent="0.2">
      <c r="A50" s="1092"/>
      <c r="B50" s="1090"/>
      <c r="C50" s="1090"/>
      <c r="D50" s="1090"/>
      <c r="E50" s="1090"/>
      <c r="F50" s="1090"/>
      <c r="G50" s="1090"/>
      <c r="H50" s="1090"/>
      <c r="I50" s="1090"/>
      <c r="J50" s="1090"/>
      <c r="K50" s="1091"/>
      <c r="L50" s="611"/>
      <c r="M50" s="611"/>
      <c r="N50" s="611"/>
    </row>
    <row r="51" spans="1:14" s="278" customFormat="1" ht="12.75" customHeight="1" x14ac:dyDescent="0.2">
      <c r="A51" s="1093"/>
      <c r="B51" s="1094"/>
      <c r="C51" s="1094"/>
      <c r="D51" s="1094"/>
      <c r="E51" s="1094"/>
      <c r="F51" s="1094"/>
      <c r="G51" s="1094"/>
      <c r="H51" s="1094"/>
      <c r="I51" s="1094"/>
      <c r="J51" s="1094"/>
      <c r="K51" s="1095"/>
      <c r="L51" s="611"/>
      <c r="M51" s="611"/>
      <c r="N51" s="611"/>
    </row>
    <row r="52" spans="1:14" s="278" customFormat="1" ht="12.75" customHeight="1" x14ac:dyDescent="0.2">
      <c r="A52" s="370"/>
      <c r="B52" s="370"/>
      <c r="C52" s="370"/>
      <c r="D52" s="370"/>
      <c r="E52" s="370"/>
      <c r="F52" s="370"/>
      <c r="G52" s="370"/>
      <c r="H52" s="370"/>
      <c r="I52" s="370"/>
      <c r="J52" s="370"/>
      <c r="K52" s="370"/>
      <c r="L52" s="370"/>
      <c r="M52" s="611"/>
      <c r="N52" s="611"/>
    </row>
    <row r="53" spans="1:14" s="278" customFormat="1" ht="12.75" customHeight="1" x14ac:dyDescent="0.2">
      <c r="A53" s="370"/>
      <c r="B53" s="370"/>
      <c r="C53" s="370"/>
      <c r="D53" s="370"/>
      <c r="E53" s="370"/>
      <c r="F53" s="370"/>
      <c r="G53" s="370"/>
      <c r="H53" s="370"/>
      <c r="I53" s="370"/>
      <c r="J53" s="370"/>
      <c r="K53" s="370"/>
      <c r="L53" s="370"/>
      <c r="M53" s="611"/>
      <c r="N53" s="611"/>
    </row>
    <row r="54" spans="1:14" s="278" customFormat="1" ht="12.75" customHeight="1" x14ac:dyDescent="0.2">
      <c r="A54" s="370"/>
      <c r="B54" s="370"/>
      <c r="C54" s="370"/>
      <c r="D54" s="370"/>
      <c r="E54" s="370"/>
      <c r="F54" s="370"/>
      <c r="G54" s="370"/>
      <c r="H54" s="370"/>
      <c r="I54" s="370"/>
      <c r="J54" s="370"/>
      <c r="K54" s="370"/>
      <c r="L54" s="370"/>
      <c r="M54" s="611"/>
      <c r="N54" s="611"/>
    </row>
    <row r="55" spans="1:14" s="278" customFormat="1" ht="12.75" customHeight="1" x14ac:dyDescent="0.2">
      <c r="H55" s="371"/>
      <c r="I55" s="371"/>
      <c r="M55" s="611"/>
      <c r="N55" s="611"/>
    </row>
    <row r="56" spans="1:14" s="278" customFormat="1" ht="12.75" customHeight="1" x14ac:dyDescent="0.2">
      <c r="A56" s="39"/>
      <c r="B56" s="39"/>
      <c r="C56" s="44"/>
      <c r="D56" s="44"/>
      <c r="E56" s="44"/>
      <c r="F56" s="39"/>
      <c r="G56" s="39"/>
      <c r="H56" s="143"/>
      <c r="I56" s="143"/>
      <c r="J56" s="44"/>
      <c r="K56" s="44"/>
      <c r="L56" s="44"/>
      <c r="M56" s="611"/>
      <c r="N56" s="611"/>
    </row>
    <row r="57" spans="1:14" s="278" customFormat="1" ht="12.75" customHeight="1" x14ac:dyDescent="0.2">
      <c r="A57" s="39"/>
      <c r="B57" s="39"/>
      <c r="C57" s="39"/>
      <c r="D57" s="39"/>
      <c r="E57" s="44"/>
      <c r="F57" s="39"/>
      <c r="G57" s="39"/>
      <c r="H57" s="143"/>
      <c r="I57" s="143"/>
      <c r="J57" s="44"/>
      <c r="K57" s="44"/>
      <c r="L57" s="44"/>
      <c r="M57" s="611"/>
      <c r="N57" s="611"/>
    </row>
    <row r="58" spans="1:14" s="278" customFormat="1" ht="12.75" customHeight="1" x14ac:dyDescent="0.2">
      <c r="A58" s="39"/>
      <c r="B58" s="39"/>
      <c r="C58" s="44"/>
      <c r="D58" s="44"/>
      <c r="E58" s="372"/>
      <c r="F58" s="39"/>
      <c r="G58" s="39"/>
      <c r="H58" s="143"/>
      <c r="I58" s="143"/>
      <c r="J58" s="39"/>
      <c r="K58" s="39"/>
      <c r="L58" s="39"/>
      <c r="M58" s="370"/>
      <c r="N58" s="370"/>
    </row>
    <row r="59" spans="1:14" s="278" customFormat="1" ht="12.75" customHeight="1" x14ac:dyDescent="0.2">
      <c r="E59" s="44"/>
      <c r="F59" s="39"/>
      <c r="G59" s="39"/>
      <c r="H59" s="143"/>
      <c r="I59" s="143"/>
      <c r="J59" s="39"/>
      <c r="K59" s="39"/>
      <c r="L59" s="39"/>
      <c r="M59" s="370"/>
      <c r="N59" s="370"/>
    </row>
    <row r="60" spans="1:14" s="278" customFormat="1" ht="12.75" customHeight="1" x14ac:dyDescent="0.2">
      <c r="E60" s="39"/>
      <c r="F60" s="39"/>
      <c r="G60" s="39"/>
      <c r="H60" s="143"/>
      <c r="I60" s="143"/>
      <c r="J60" s="39"/>
      <c r="K60" s="39"/>
      <c r="L60" s="39"/>
      <c r="M60" s="370"/>
      <c r="N60" s="370"/>
    </row>
    <row r="61" spans="1:14" s="278" customFormat="1" ht="12.75" customHeight="1" x14ac:dyDescent="0.2">
      <c r="E61" s="39"/>
      <c r="F61" s="39"/>
      <c r="G61" s="39"/>
      <c r="H61" s="143"/>
      <c r="I61" s="143"/>
      <c r="J61" s="44"/>
      <c r="K61" s="44"/>
      <c r="L61" s="44"/>
    </row>
    <row r="62" spans="1:14" s="278" customFormat="1" ht="4.5" customHeight="1" x14ac:dyDescent="0.2">
      <c r="E62" s="39"/>
      <c r="F62" s="39"/>
      <c r="G62" s="39"/>
      <c r="H62" s="143"/>
      <c r="I62" s="143"/>
      <c r="J62" s="39"/>
      <c r="K62" s="39"/>
      <c r="L62" s="39"/>
      <c r="M62" s="44"/>
      <c r="N62" s="44"/>
    </row>
    <row r="63" spans="1:14" s="278" customFormat="1" ht="10.5" hidden="1" customHeight="1" x14ac:dyDescent="0.2">
      <c r="E63" s="39"/>
      <c r="F63" s="39"/>
      <c r="G63" s="39"/>
      <c r="H63" s="143"/>
      <c r="I63" s="143"/>
      <c r="J63" s="44"/>
      <c r="K63" s="44"/>
      <c r="L63" s="44"/>
      <c r="M63" s="44"/>
      <c r="N63" s="44"/>
    </row>
    <row r="64" spans="1:14" s="278" customFormat="1" ht="12.75" hidden="1" customHeight="1" x14ac:dyDescent="0.2">
      <c r="E64" s="39"/>
      <c r="F64" s="39"/>
      <c r="G64" s="39"/>
      <c r="H64" s="143"/>
      <c r="I64" s="143"/>
      <c r="J64" s="39"/>
      <c r="K64" s="39"/>
      <c r="L64" s="39"/>
      <c r="M64" s="39"/>
      <c r="N64" s="39"/>
    </row>
    <row r="65" spans="1:24" s="278" customFormat="1" ht="12.75" customHeight="1" x14ac:dyDescent="0.2">
      <c r="A65" s="84"/>
      <c r="B65" s="84"/>
      <c r="C65" s="84"/>
      <c r="D65" s="84"/>
      <c r="E65" s="84"/>
      <c r="F65" s="84"/>
      <c r="G65" s="84"/>
      <c r="H65" s="340"/>
      <c r="I65" s="340"/>
      <c r="J65" s="84"/>
      <c r="K65" s="84"/>
      <c r="L65" s="84"/>
      <c r="M65" s="39"/>
      <c r="N65" s="39"/>
    </row>
    <row r="66" spans="1:24" x14ac:dyDescent="0.2">
      <c r="M66" s="39"/>
      <c r="N66" s="39"/>
      <c r="O66" s="278"/>
      <c r="P66" s="278"/>
      <c r="Q66" s="278"/>
      <c r="R66" s="278"/>
      <c r="S66" s="278"/>
      <c r="T66" s="278"/>
      <c r="U66" s="278"/>
      <c r="V66" s="278"/>
      <c r="W66" s="278"/>
      <c r="X66" s="278"/>
    </row>
    <row r="67" spans="1:24" x14ac:dyDescent="0.2">
      <c r="M67" s="44"/>
      <c r="N67" s="44"/>
      <c r="O67" s="278"/>
      <c r="P67" s="278"/>
      <c r="Q67" s="278"/>
      <c r="R67" s="278"/>
      <c r="S67" s="278"/>
      <c r="T67" s="278"/>
      <c r="U67" s="278"/>
      <c r="V67" s="278"/>
      <c r="W67" s="278"/>
      <c r="X67" s="278"/>
    </row>
    <row r="68" spans="1:24" x14ac:dyDescent="0.2">
      <c r="M68" s="39"/>
      <c r="N68" s="39"/>
      <c r="O68" s="278"/>
      <c r="P68" s="278"/>
      <c r="Q68" s="278"/>
      <c r="R68" s="278"/>
      <c r="S68" s="278"/>
      <c r="T68" s="278"/>
      <c r="U68" s="278"/>
      <c r="V68" s="278"/>
      <c r="W68" s="278"/>
      <c r="X68" s="278"/>
    </row>
    <row r="69" spans="1:24" x14ac:dyDescent="0.2">
      <c r="M69" s="44"/>
      <c r="N69" s="44"/>
      <c r="O69" s="278"/>
      <c r="P69" s="278"/>
      <c r="Q69" s="278"/>
      <c r="R69" s="278"/>
      <c r="S69" s="278"/>
      <c r="T69" s="278"/>
      <c r="U69" s="278"/>
      <c r="V69" s="278"/>
      <c r="W69" s="278"/>
      <c r="X69" s="278"/>
    </row>
    <row r="70" spans="1:24" x14ac:dyDescent="0.2">
      <c r="M70" s="39"/>
      <c r="N70" s="39"/>
      <c r="O70" s="278"/>
      <c r="Q70" s="278"/>
      <c r="R70" s="278"/>
      <c r="S70" s="278"/>
      <c r="T70" s="278"/>
      <c r="U70" s="278"/>
      <c r="V70" s="278"/>
      <c r="W70" s="278"/>
      <c r="X70" s="278"/>
    </row>
    <row r="71" spans="1:24" x14ac:dyDescent="0.2">
      <c r="O71" s="278"/>
      <c r="Q71" s="278"/>
      <c r="R71" s="278"/>
      <c r="S71" s="278"/>
      <c r="T71" s="278"/>
      <c r="U71" s="278"/>
      <c r="V71" s="278"/>
      <c r="W71" s="278"/>
      <c r="X71" s="278"/>
    </row>
    <row r="72" spans="1:24" x14ac:dyDescent="0.2">
      <c r="O72" s="278"/>
      <c r="Q72" s="278"/>
      <c r="R72" s="278"/>
      <c r="S72" s="278"/>
      <c r="T72" s="278"/>
      <c r="U72" s="278"/>
      <c r="V72" s="278"/>
      <c r="W72" s="278"/>
      <c r="X72" s="278"/>
    </row>
    <row r="73" spans="1:24" x14ac:dyDescent="0.2">
      <c r="Q73" s="278"/>
      <c r="R73" s="278"/>
      <c r="S73" s="278"/>
      <c r="T73" s="278"/>
      <c r="U73" s="278"/>
      <c r="V73" s="278"/>
      <c r="W73" s="278"/>
      <c r="X73" s="278"/>
    </row>
    <row r="74" spans="1:24" x14ac:dyDescent="0.2">
      <c r="U74" s="278"/>
      <c r="V74" s="278"/>
      <c r="W74" s="278"/>
      <c r="X74" s="278"/>
    </row>
    <row r="75" spans="1:24" x14ac:dyDescent="0.2">
      <c r="W75" s="278"/>
    </row>
    <row r="76" spans="1:24" x14ac:dyDescent="0.2">
      <c r="W76" s="278"/>
    </row>
  </sheetData>
  <sheetProtection algorithmName="SHA-512" hashValue="lTyZV0BjqEAONvb7fhr//ZxENTXDcD2zGXdWcRqFWVtWWRhFBUe3IcYksiDSp+KFJOQK7rCjehfodqmQT80lHA==" saltValue="YUkZJaW5mJETSrr5tXXXtQ==" spinCount="100000" sheet="1" objects="1" scenarios="1"/>
  <mergeCells count="71">
    <mergeCell ref="B35:G35"/>
    <mergeCell ref="B34:G34"/>
    <mergeCell ref="A34:A35"/>
    <mergeCell ref="L11:L12"/>
    <mergeCell ref="M11:M12"/>
    <mergeCell ref="K25:K26"/>
    <mergeCell ref="J25:J26"/>
    <mergeCell ref="K11:K12"/>
    <mergeCell ref="I18:J18"/>
    <mergeCell ref="I17:J17"/>
    <mergeCell ref="I14:J14"/>
    <mergeCell ref="I13:J13"/>
    <mergeCell ref="I11:J12"/>
    <mergeCell ref="K23:K24"/>
    <mergeCell ref="K21:K22"/>
    <mergeCell ref="J21:J22"/>
    <mergeCell ref="A1:F1"/>
    <mergeCell ref="A2:H2"/>
    <mergeCell ref="B3:K3"/>
    <mergeCell ref="B4:K4"/>
    <mergeCell ref="B5:K5"/>
    <mergeCell ref="A37:K37"/>
    <mergeCell ref="A38:K51"/>
    <mergeCell ref="E11:E12"/>
    <mergeCell ref="H11:H12"/>
    <mergeCell ref="G11:G12"/>
    <mergeCell ref="F11:F12"/>
    <mergeCell ref="D11:D12"/>
    <mergeCell ref="C11:C12"/>
    <mergeCell ref="H29:H30"/>
    <mergeCell ref="G21:G22"/>
    <mergeCell ref="H21:H22"/>
    <mergeCell ref="H25:H26"/>
    <mergeCell ref="H23:H24"/>
    <mergeCell ref="F21:F22"/>
    <mergeCell ref="A23:B24"/>
    <mergeCell ref="A25:B26"/>
    <mergeCell ref="A10:H10"/>
    <mergeCell ref="B6:K6"/>
    <mergeCell ref="B7:K7"/>
    <mergeCell ref="B8:D8"/>
    <mergeCell ref="E8:K8"/>
    <mergeCell ref="A32:G32"/>
    <mergeCell ref="B11:B12"/>
    <mergeCell ref="A11:A12"/>
    <mergeCell ref="A21:B22"/>
    <mergeCell ref="C21:C22"/>
    <mergeCell ref="D21:E22"/>
    <mergeCell ref="C25:C26"/>
    <mergeCell ref="C23:C24"/>
    <mergeCell ref="D25:E26"/>
    <mergeCell ref="G25:G26"/>
    <mergeCell ref="G23:G24"/>
    <mergeCell ref="D23:E24"/>
    <mergeCell ref="F23:F24"/>
    <mergeCell ref="F25:F26"/>
    <mergeCell ref="A27:G27"/>
    <mergeCell ref="A28:G28"/>
    <mergeCell ref="A29:G30"/>
    <mergeCell ref="A31:G31"/>
    <mergeCell ref="I21:I22"/>
    <mergeCell ref="I25:I26"/>
    <mergeCell ref="I23:I24"/>
    <mergeCell ref="J23:J24"/>
    <mergeCell ref="I15:J15"/>
    <mergeCell ref="I16:J16"/>
    <mergeCell ref="S29:S30"/>
    <mergeCell ref="R29:R30"/>
    <mergeCell ref="Q29:Q30"/>
    <mergeCell ref="P29:P30"/>
    <mergeCell ref="O29:O30"/>
  </mergeCells>
  <conditionalFormatting sqref="J23 J25">
    <cfRule type="cellIs" dxfId="4" priority="18" operator="greaterThan">
      <formula>50</formula>
    </cfRule>
  </conditionalFormatting>
  <dataValidations xWindow="368" yWindow="540" count="5">
    <dataValidation type="list" allowBlank="1" showErrorMessage="1" errorTitle="Fehlerhafte Eingabe" error="Wählen Sie das gewünschte Element im Dropdown aus." sqref="A13:A18">
      <formula1>$O$14:$O$25</formula1>
    </dataValidation>
    <dataValidation type="list" allowBlank="1" showInputMessage="1" showErrorMessage="1" errorTitle="Fehlerhafte Eingabe" error="Wählen Sie das gewünschte Element im Dropdown aus." sqref="A23:B26">
      <formula1>$O$31:$O$33</formula1>
    </dataValidation>
    <dataValidation type="custom" allowBlank="1" showErrorMessage="1" errorTitle="Indicazioni mancanti" error="Possibili motivi di errore:_x000a_1. L'indicazione non è &quot;sì&quot; o &quot;no&quot;._x000a_2. Per questo elemento non sono previsti supplementi._x000a_L'indicazione deve essere corretta." sqref="C23:C26">
      <formula1>OR(VLOOKUP($A23,$O$31:$S$34,MATCH(C$21,$O$29:$S$29,0),FALSE)=C23,C23="No")</formula1>
    </dataValidation>
    <dataValidation type="custom" allowBlank="1" showInputMessage="1" showErrorMessage="1" errorTitle="Fehlerhafter Beitragssatz" error="Der eingetragene Beitragssatz ist höher als der maximal zulässige Beitragssatz." sqref="F23:F26">
      <formula1>F23&lt;=VLOOKUP($A23,$O$31:$S$34,MATCH(F$21,$O$29:$S$29,0),FALSE)</formula1>
    </dataValidation>
    <dataValidation type="custom" allowBlank="1" showErrorMessage="1" errorTitle="Indicazioni mancanti" error="Possibili motivi di errore:_x000a_1. L'indicazione non è &quot;sì&quot; o &quot;no&quot;._x000a_2. Per questo elemento non sono previsti supplementi._x000a_L'indicazione deve essere corretta." sqref="C13:C18">
      <formula1>OR(VLOOKUP($A13,$O$14:$V$27,MATCH(C$11,$O$13:$V$13,0),FALSE)=C13,C13="No")</formula1>
    </dataValidation>
  </dataValidations>
  <pageMargins left="0.78740157480314965" right="0.59055118110236227" top="0.78740157480314965" bottom="0.59055118110236227" header="0.31496062992125984" footer="0.31496062992125984"/>
  <pageSetup paperSize="9" scale="63" orientation="portrait" r:id="rId1"/>
  <headerFooter alignWithMargins="0">
    <oddHeader>&amp;L&amp;8Ufficio federale dell'agricoltura&amp;R&amp;8Aiuto al calcolo; stato 1.2023</oddHeader>
    <oddFooter>&amp;L&amp;8&amp;D; &amp;T&amp;R&amp;8&amp;A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R70"/>
  <sheetViews>
    <sheetView showGridLines="0" showZeros="0" zoomScaleNormal="100" zoomScaleSheetLayoutView="100" workbookViewId="0">
      <selection activeCell="E21" sqref="E21:E22"/>
    </sheetView>
  </sheetViews>
  <sheetFormatPr baseColWidth="10" defaultColWidth="11.42578125" defaultRowHeight="12.75" x14ac:dyDescent="0.2"/>
  <cols>
    <col min="1" max="1" width="33" style="204" customWidth="1"/>
    <col min="2" max="2" width="11.42578125" style="204" customWidth="1"/>
    <col min="3" max="3" width="6.85546875" style="204" customWidth="1"/>
    <col min="4" max="4" width="7.28515625" style="204" customWidth="1"/>
    <col min="5" max="5" width="11.42578125" style="204" customWidth="1"/>
    <col min="6" max="6" width="9.5703125" style="341" customWidth="1"/>
    <col min="7" max="7" width="9.85546875" style="204" customWidth="1"/>
    <col min="8" max="8" width="10.28515625" style="204" customWidth="1"/>
    <col min="9" max="9" width="0.85546875" style="84" customWidth="1"/>
    <col min="10" max="10" width="8.5703125" style="84" customWidth="1"/>
    <col min="11" max="11" width="34.5703125" style="84" customWidth="1"/>
    <col min="12" max="12" width="23.5703125" style="84" customWidth="1"/>
    <col min="13" max="15" width="9.140625" style="84" customWidth="1"/>
    <col min="16" max="17" width="11.42578125" style="84"/>
    <col min="18" max="16384" width="11.42578125" style="204"/>
  </cols>
  <sheetData>
    <row r="1" spans="1:17" s="212" customFormat="1" ht="24.75" customHeight="1" x14ac:dyDescent="0.2">
      <c r="A1" s="967" t="s">
        <v>52</v>
      </c>
      <c r="B1" s="1306"/>
      <c r="C1" s="1235"/>
      <c r="D1" s="1235"/>
      <c r="E1" s="1235"/>
      <c r="F1" s="280"/>
      <c r="G1" s="172"/>
      <c r="H1" s="268"/>
      <c r="I1" s="94"/>
      <c r="J1" s="94"/>
      <c r="K1" s="94"/>
      <c r="L1" s="94"/>
      <c r="M1" s="94"/>
      <c r="N1" s="94"/>
      <c r="O1" s="94"/>
      <c r="P1" s="94"/>
      <c r="Q1" s="94"/>
    </row>
    <row r="2" spans="1:17" s="212" customFormat="1" ht="12.75" customHeight="1" x14ac:dyDescent="0.2">
      <c r="A2" s="1307"/>
      <c r="B2" s="1307"/>
      <c r="C2" s="1307"/>
      <c r="D2" s="1307"/>
      <c r="E2" s="1307"/>
      <c r="F2" s="1307"/>
      <c r="G2" s="177"/>
      <c r="H2" s="177"/>
      <c r="I2" s="94"/>
      <c r="J2" s="94"/>
      <c r="K2" s="94"/>
      <c r="L2" s="993" t="s">
        <v>50</v>
      </c>
      <c r="M2" s="1287"/>
      <c r="N2" s="1287"/>
      <c r="O2" s="1220"/>
      <c r="P2" s="94"/>
      <c r="Q2" s="94"/>
    </row>
    <row r="3" spans="1:17" s="212" customFormat="1" ht="12.75" customHeight="1" x14ac:dyDescent="0.2">
      <c r="A3" s="163" t="str">
        <f>'20 aiuto iniziale'!A3:B3</f>
        <v>Richiedente</v>
      </c>
      <c r="B3" s="1386"/>
      <c r="C3" s="1387"/>
      <c r="D3" s="1387"/>
      <c r="E3" s="1387"/>
      <c r="F3" s="1387"/>
      <c r="G3" s="1387"/>
      <c r="H3" s="1388"/>
      <c r="I3" s="94"/>
      <c r="J3" s="94"/>
      <c r="K3" s="94"/>
      <c r="L3" s="994"/>
      <c r="M3" s="1354"/>
      <c r="N3" s="1354"/>
      <c r="O3" s="1221"/>
      <c r="P3" s="94"/>
      <c r="Q3" s="94"/>
    </row>
    <row r="4" spans="1:17" s="208" customFormat="1" ht="12.75" customHeight="1" x14ac:dyDescent="0.2">
      <c r="A4" s="164" t="str">
        <f>'20 aiuto iniziale'!A4:B4</f>
        <v>Comune politico</v>
      </c>
      <c r="B4" s="1389"/>
      <c r="C4" s="1390"/>
      <c r="D4" s="1390"/>
      <c r="E4" s="1390"/>
      <c r="F4" s="1390"/>
      <c r="G4" s="1390"/>
      <c r="H4" s="1391"/>
      <c r="I4" s="32"/>
      <c r="J4" s="32"/>
      <c r="K4" s="32"/>
      <c r="L4" s="79" t="s">
        <v>36</v>
      </c>
      <c r="M4" s="342" t="s">
        <v>37</v>
      </c>
      <c r="N4" s="342" t="s">
        <v>38</v>
      </c>
      <c r="O4" s="343" t="s">
        <v>39</v>
      </c>
      <c r="P4" s="32"/>
      <c r="Q4" s="32"/>
    </row>
    <row r="5" spans="1:17" s="208" customFormat="1" ht="12.75" customHeight="1" x14ac:dyDescent="0.2">
      <c r="A5" s="164" t="str">
        <f>'20 aiuto iniziale'!A5:B5</f>
        <v>N. Cantone</v>
      </c>
      <c r="B5" s="1389"/>
      <c r="C5" s="1390"/>
      <c r="D5" s="1390"/>
      <c r="E5" s="1390"/>
      <c r="F5" s="1390"/>
      <c r="G5" s="1390"/>
      <c r="H5" s="1391"/>
      <c r="I5" s="32"/>
      <c r="J5" s="94"/>
      <c r="K5" s="32"/>
      <c r="L5" s="344" t="s">
        <v>40</v>
      </c>
      <c r="M5" s="345"/>
      <c r="N5" s="345"/>
      <c r="O5" s="346"/>
      <c r="P5" s="32"/>
      <c r="Q5" s="32"/>
    </row>
    <row r="6" spans="1:17" s="208" customFormat="1" ht="12.75" customHeight="1" x14ac:dyDescent="0.2">
      <c r="A6" s="165" t="str">
        <f>'20 aiuto iniziale'!A6:B6</f>
        <v>N. CSF eMapis</v>
      </c>
      <c r="B6" s="1392"/>
      <c r="C6" s="1393"/>
      <c r="D6" s="1393"/>
      <c r="E6" s="1393"/>
      <c r="F6" s="1393"/>
      <c r="G6" s="1393"/>
      <c r="H6" s="1394"/>
      <c r="I6" s="32"/>
      <c r="J6" s="94"/>
      <c r="K6" s="31"/>
      <c r="L6" s="344" t="s">
        <v>41</v>
      </c>
      <c r="M6" s="277">
        <f ca="1">IF(O5&gt;2000,YEARFRAC(DATE(O5,N5,M5),TODAY()),0)</f>
        <v>0</v>
      </c>
      <c r="N6" s="278"/>
      <c r="O6" s="347"/>
      <c r="P6" s="32"/>
      <c r="Q6" s="32"/>
    </row>
    <row r="7" spans="1:17" s="208" customFormat="1" ht="12.75" customHeight="1" x14ac:dyDescent="0.2">
      <c r="A7" s="91" t="str">
        <f>'20 aiuto iniziale'!A7:B7</f>
        <v>Zone</v>
      </c>
      <c r="B7" s="1389"/>
      <c r="C7" s="1390"/>
      <c r="D7" s="1390"/>
      <c r="E7" s="1390"/>
      <c r="F7" s="1390"/>
      <c r="G7" s="1390"/>
      <c r="H7" s="1391"/>
      <c r="I7" s="32"/>
      <c r="J7" s="94"/>
      <c r="K7" s="31"/>
      <c r="L7" s="344" t="s">
        <v>42</v>
      </c>
      <c r="M7" s="278"/>
      <c r="N7" s="278"/>
      <c r="O7" s="279"/>
      <c r="P7" s="32"/>
      <c r="Q7" s="32"/>
    </row>
    <row r="8" spans="1:17" s="208" customFormat="1" ht="12.75" customHeight="1" x14ac:dyDescent="0.2">
      <c r="A8" s="281"/>
      <c r="B8" s="1389"/>
      <c r="C8" s="1390"/>
      <c r="D8" s="1390"/>
      <c r="E8" s="1390"/>
      <c r="F8" s="1390"/>
      <c r="G8" s="1390"/>
      <c r="H8" s="1391"/>
      <c r="I8" s="32"/>
      <c r="J8" s="94"/>
      <c r="K8" s="31"/>
      <c r="L8" s="344" t="s">
        <v>43</v>
      </c>
      <c r="M8" s="278"/>
      <c r="N8" s="278"/>
      <c r="O8" s="279">
        <v>10</v>
      </c>
      <c r="P8" s="32"/>
      <c r="Q8" s="32"/>
    </row>
    <row r="9" spans="1:17" s="209" customFormat="1" ht="12.75" customHeight="1" x14ac:dyDescent="0.2">
      <c r="A9" s="348" t="s">
        <v>51</v>
      </c>
      <c r="B9" s="1364"/>
      <c r="C9" s="1365"/>
      <c r="D9" s="1395"/>
      <c r="E9" s="1395"/>
      <c r="F9" s="1395"/>
      <c r="G9" s="1395"/>
      <c r="H9" s="1396"/>
      <c r="I9" s="31"/>
      <c r="J9" s="94"/>
      <c r="K9" s="31"/>
      <c r="L9" s="349" t="s">
        <v>44</v>
      </c>
      <c r="M9" s="350"/>
      <c r="N9" s="350"/>
      <c r="O9" s="351">
        <f ca="1">ROUNDDOWN(IF(O7/O8*(O8-M6)&gt;0,O7/O8*(O8-M6),0),)</f>
        <v>0</v>
      </c>
      <c r="P9" s="31"/>
      <c r="Q9" s="31"/>
    </row>
    <row r="10" spans="1:17" s="209" customFormat="1" ht="12.75" customHeight="1" x14ac:dyDescent="0.2">
      <c r="A10" s="194"/>
      <c r="B10" s="92"/>
      <c r="C10" s="5"/>
      <c r="D10" s="5"/>
      <c r="E10" s="92"/>
      <c r="F10" s="352"/>
      <c r="G10" s="177"/>
      <c r="H10" s="353"/>
      <c r="I10" s="31"/>
      <c r="J10" s="94"/>
      <c r="K10" s="111"/>
      <c r="L10" s="79" t="s">
        <v>45</v>
      </c>
      <c r="M10" s="342" t="s">
        <v>37</v>
      </c>
      <c r="N10" s="342" t="s">
        <v>38</v>
      </c>
      <c r="O10" s="343" t="s">
        <v>39</v>
      </c>
      <c r="P10" s="31"/>
      <c r="Q10" s="31"/>
    </row>
    <row r="11" spans="1:17" s="209" customFormat="1" ht="12.75" customHeight="1" x14ac:dyDescent="0.2">
      <c r="A11" s="144"/>
      <c r="B11" s="166"/>
      <c r="C11" s="87"/>
      <c r="D11" s="282"/>
      <c r="E11" s="87"/>
      <c r="F11" s="128"/>
      <c r="G11" s="166"/>
      <c r="H11" s="145"/>
      <c r="I11" s="31"/>
      <c r="J11" s="72"/>
      <c r="K11" s="111"/>
      <c r="L11" s="344" t="s">
        <v>40</v>
      </c>
      <c r="M11" s="345"/>
      <c r="N11" s="345"/>
      <c r="O11" s="346"/>
      <c r="P11" s="31"/>
      <c r="Q11" s="31"/>
    </row>
    <row r="12" spans="1:17" s="209" customFormat="1" ht="12.75" customHeight="1" x14ac:dyDescent="0.2">
      <c r="A12" s="994" t="s">
        <v>54</v>
      </c>
      <c r="B12" s="1354"/>
      <c r="C12" s="1354"/>
      <c r="D12" s="1354"/>
      <c r="E12" s="1354"/>
      <c r="F12" s="1354"/>
      <c r="G12" s="169"/>
      <c r="H12" s="146"/>
      <c r="I12" s="31"/>
      <c r="J12" s="364">
        <v>200000</v>
      </c>
      <c r="K12" s="111" t="s">
        <v>23</v>
      </c>
      <c r="L12" s="344" t="s">
        <v>41</v>
      </c>
      <c r="M12" s="277">
        <f ca="1">IF(O11&gt;2000,YEARFRAC(DATE(O11,N11,M11),TODAY()),0)</f>
        <v>0</v>
      </c>
      <c r="N12" s="278"/>
      <c r="O12" s="347"/>
      <c r="P12" s="31"/>
      <c r="Q12" s="31"/>
    </row>
    <row r="13" spans="1:17" s="209" customFormat="1" ht="12.75" customHeight="1" x14ac:dyDescent="0.2">
      <c r="A13" s="1355" t="s">
        <v>18</v>
      </c>
      <c r="B13" s="1356"/>
      <c r="C13" s="127" t="s">
        <v>6</v>
      </c>
      <c r="D13" s="167" t="s">
        <v>7</v>
      </c>
      <c r="E13" s="109" t="s">
        <v>20</v>
      </c>
      <c r="F13" s="129" t="s">
        <v>9</v>
      </c>
      <c r="G13" s="109" t="s">
        <v>25</v>
      </c>
      <c r="H13" s="109" t="s">
        <v>13</v>
      </c>
      <c r="I13" s="31"/>
      <c r="J13" s="72">
        <v>1000000</v>
      </c>
      <c r="K13" s="114" t="s">
        <v>14</v>
      </c>
      <c r="L13" s="344" t="s">
        <v>42</v>
      </c>
      <c r="M13" s="278"/>
      <c r="N13" s="278"/>
      <c r="O13" s="279"/>
      <c r="P13" s="31"/>
      <c r="Q13" s="31"/>
    </row>
    <row r="14" spans="1:17" s="209" customFormat="1" ht="12.75" customHeight="1" x14ac:dyDescent="0.2">
      <c r="A14" s="1357" t="s">
        <v>19</v>
      </c>
      <c r="B14" s="1358"/>
      <c r="C14" s="138" t="s">
        <v>3</v>
      </c>
      <c r="D14" s="139"/>
      <c r="E14" s="140">
        <v>240</v>
      </c>
      <c r="F14" s="141">
        <f>ROUNDDOWN(D14*E14,0)</f>
        <v>0</v>
      </c>
      <c r="G14" s="283">
        <v>120</v>
      </c>
      <c r="H14" s="283">
        <f>ROUNDDOWN(D14*G14,0)</f>
        <v>0</v>
      </c>
      <c r="I14" s="31"/>
      <c r="J14" s="113">
        <f>ROUNDDOWN(B9*5,-5)/5</f>
        <v>0</v>
      </c>
      <c r="K14" s="42" t="s">
        <v>24</v>
      </c>
      <c r="L14" s="344" t="s">
        <v>43</v>
      </c>
      <c r="M14" s="278"/>
      <c r="N14" s="278"/>
      <c r="O14" s="279">
        <v>10</v>
      </c>
      <c r="P14" s="31"/>
      <c r="Q14" s="31"/>
    </row>
    <row r="15" spans="1:17" s="209" customFormat="1" ht="12.75" customHeight="1" x14ac:dyDescent="0.2">
      <c r="A15" s="1336" t="s">
        <v>21</v>
      </c>
      <c r="B15" s="1337"/>
      <c r="C15" s="361" t="s">
        <v>3</v>
      </c>
      <c r="D15" s="362"/>
      <c r="E15" s="363">
        <v>140</v>
      </c>
      <c r="F15" s="290">
        <f>ROUNDDOWN(D15*E15,0)</f>
        <v>0</v>
      </c>
      <c r="G15" s="284">
        <v>70</v>
      </c>
      <c r="H15" s="284">
        <f>ROUNDDOWN(D15*G15,0)</f>
        <v>0</v>
      </c>
      <c r="I15" s="31"/>
      <c r="J15" s="113"/>
      <c r="K15" s="42"/>
      <c r="L15" s="344"/>
      <c r="M15" s="278"/>
      <c r="N15" s="278"/>
      <c r="O15" s="279"/>
      <c r="P15" s="31"/>
      <c r="Q15" s="31"/>
    </row>
    <row r="16" spans="1:17" s="209" customFormat="1" ht="12.75" customHeight="1" x14ac:dyDescent="0.2">
      <c r="A16" s="1359" t="s">
        <v>55</v>
      </c>
      <c r="B16" s="1360"/>
      <c r="C16" s="135" t="s">
        <v>12</v>
      </c>
      <c r="D16" s="136"/>
      <c r="E16" s="137">
        <v>30</v>
      </c>
      <c r="F16" s="134">
        <f>ROUNDDOWN(D16*E16,0)</f>
        <v>0</v>
      </c>
      <c r="G16" s="359"/>
      <c r="H16" s="360"/>
      <c r="I16" s="31"/>
      <c r="J16" s="115">
        <f>IF(J14&gt;J13,(J13-J14)/4,0)</f>
        <v>0</v>
      </c>
      <c r="K16" s="69" t="s">
        <v>17</v>
      </c>
      <c r="L16" s="349" t="s">
        <v>44</v>
      </c>
      <c r="M16" s="350"/>
      <c r="N16" s="350"/>
      <c r="O16" s="351">
        <f ca="1">ROUNDDOWN(IF(O13/O14*(O14-M12)&gt;0,O13/O14*(O14-M12),0),0)</f>
        <v>0</v>
      </c>
      <c r="P16" s="31"/>
      <c r="Q16" s="31"/>
    </row>
    <row r="17" spans="1:18" s="209" customFormat="1" ht="12.75" customHeight="1" x14ac:dyDescent="0.2">
      <c r="A17" s="142"/>
      <c r="B17" s="33"/>
      <c r="C17" s="33"/>
      <c r="D17" s="33"/>
      <c r="E17" s="33"/>
      <c r="F17" s="130"/>
      <c r="G17" s="33"/>
      <c r="H17" s="285"/>
      <c r="I17" s="31"/>
      <c r="J17" s="72"/>
      <c r="K17" s="111"/>
      <c r="L17" s="79" t="s">
        <v>46</v>
      </c>
      <c r="M17" s="342" t="s">
        <v>37</v>
      </c>
      <c r="N17" s="342" t="s">
        <v>38</v>
      </c>
      <c r="O17" s="343" t="s">
        <v>39</v>
      </c>
      <c r="P17" s="31"/>
      <c r="Q17" s="31"/>
    </row>
    <row r="18" spans="1:18" s="209" customFormat="1" ht="12.75" customHeight="1" x14ac:dyDescent="0.2">
      <c r="A18" s="1006" t="s">
        <v>26</v>
      </c>
      <c r="B18" s="1007"/>
      <c r="C18" s="1007"/>
      <c r="D18" s="1007"/>
      <c r="E18" s="1007"/>
      <c r="F18" s="1007"/>
      <c r="G18" s="168"/>
      <c r="H18" s="286"/>
      <c r="I18" s="31"/>
      <c r="J18" s="31"/>
      <c r="K18" s="31"/>
      <c r="L18" s="344" t="s">
        <v>40</v>
      </c>
      <c r="M18" s="345"/>
      <c r="N18" s="345"/>
      <c r="O18" s="346"/>
      <c r="P18" s="31"/>
      <c r="Q18" s="31"/>
    </row>
    <row r="19" spans="1:18" s="209" customFormat="1" ht="12.75" customHeight="1" x14ac:dyDescent="0.2">
      <c r="A19" s="1379" t="s">
        <v>18</v>
      </c>
      <c r="B19" s="1379" t="s">
        <v>15</v>
      </c>
      <c r="C19" s="1379" t="s">
        <v>30</v>
      </c>
      <c r="D19" s="1379"/>
      <c r="E19" s="1379" t="s">
        <v>49</v>
      </c>
      <c r="F19" s="1381" t="s">
        <v>9</v>
      </c>
      <c r="G19" s="1379" t="s">
        <v>53</v>
      </c>
      <c r="H19" s="1379" t="s">
        <v>13</v>
      </c>
      <c r="I19" s="31"/>
      <c r="J19" s="31"/>
      <c r="K19" s="31"/>
      <c r="L19" s="344" t="s">
        <v>41</v>
      </c>
      <c r="M19" s="277">
        <f ca="1">IF(O18&gt;2000,YEARFRAC(DATE(O18,N18,M18),TODAY()),0)</f>
        <v>0</v>
      </c>
      <c r="N19" s="278"/>
      <c r="O19" s="347"/>
      <c r="P19" s="31"/>
      <c r="Q19" s="31"/>
      <c r="R19" s="213"/>
    </row>
    <row r="20" spans="1:18" s="209" customFormat="1" ht="12.75" customHeight="1" x14ac:dyDescent="0.2">
      <c r="A20" s="1379"/>
      <c r="B20" s="1379"/>
      <c r="C20" s="1379"/>
      <c r="D20" s="1379"/>
      <c r="E20" s="1379"/>
      <c r="F20" s="1381"/>
      <c r="G20" s="1379"/>
      <c r="H20" s="1379"/>
      <c r="I20" s="31"/>
      <c r="J20" s="31"/>
      <c r="K20" s="31"/>
      <c r="L20" s="344" t="s">
        <v>42</v>
      </c>
      <c r="M20" s="278"/>
      <c r="N20" s="278"/>
      <c r="O20" s="279"/>
      <c r="P20" s="31"/>
      <c r="Q20" s="31"/>
    </row>
    <row r="21" spans="1:18" s="209" customFormat="1" ht="12.75" customHeight="1" x14ac:dyDescent="0.2">
      <c r="A21" s="1338" t="s">
        <v>56</v>
      </c>
      <c r="B21" s="1340"/>
      <c r="C21" s="1342"/>
      <c r="D21" s="1343"/>
      <c r="E21" s="1346"/>
      <c r="F21" s="1334">
        <f>ROUNDDOWN(C21/100*E21,0)</f>
        <v>0</v>
      </c>
      <c r="G21" s="1346"/>
      <c r="H21" s="1334">
        <f>ROUNDDOWN((C21-F21)*G21/100,0)</f>
        <v>0</v>
      </c>
      <c r="I21" s="31"/>
      <c r="J21" s="31"/>
      <c r="K21" s="31"/>
      <c r="L21" s="344" t="s">
        <v>43</v>
      </c>
      <c r="M21" s="278"/>
      <c r="N21" s="278"/>
      <c r="O21" s="279">
        <v>10</v>
      </c>
      <c r="P21" s="31"/>
      <c r="Q21" s="31"/>
    </row>
    <row r="22" spans="1:18" s="209" customFormat="1" ht="12.75" customHeight="1" x14ac:dyDescent="0.2">
      <c r="A22" s="1339"/>
      <c r="B22" s="1341"/>
      <c r="C22" s="1344"/>
      <c r="D22" s="1345"/>
      <c r="E22" s="1347"/>
      <c r="F22" s="1335"/>
      <c r="G22" s="1347"/>
      <c r="H22" s="1335"/>
      <c r="I22" s="31"/>
      <c r="J22" s="31"/>
      <c r="K22" s="31"/>
      <c r="L22" s="349" t="s">
        <v>44</v>
      </c>
      <c r="M22" s="350"/>
      <c r="N22" s="350"/>
      <c r="O22" s="351">
        <f ca="1">ROUNDDOWN(IF(O20/O21*(O21-M19)&gt;0,O20/O21*(O21-M19),0),0)</f>
        <v>0</v>
      </c>
      <c r="P22" s="31"/>
      <c r="Q22" s="31"/>
    </row>
    <row r="23" spans="1:18" s="270" customFormat="1" ht="12.75" customHeight="1" x14ac:dyDescent="0.2">
      <c r="A23" s="1338" t="s">
        <v>27</v>
      </c>
      <c r="B23" s="1340"/>
      <c r="C23" s="1342"/>
      <c r="D23" s="1343"/>
      <c r="E23" s="1346"/>
      <c r="F23" s="1334">
        <f>ROUNDDOWN(C23/100*E23,0)</f>
        <v>0</v>
      </c>
      <c r="G23" s="1346"/>
      <c r="H23" s="1334">
        <f>ROUNDDOWN((C23-F23)*G23/100,0)</f>
        <v>0</v>
      </c>
      <c r="I23" s="126"/>
      <c r="J23" s="126"/>
      <c r="K23" s="126"/>
      <c r="L23" s="79" t="s">
        <v>47</v>
      </c>
      <c r="M23" s="342" t="s">
        <v>37</v>
      </c>
      <c r="N23" s="342" t="s">
        <v>38</v>
      </c>
      <c r="O23" s="343" t="s">
        <v>39</v>
      </c>
      <c r="P23" s="126"/>
      <c r="Q23" s="126"/>
    </row>
    <row r="24" spans="1:18" s="270" customFormat="1" ht="12.75" customHeight="1" x14ac:dyDescent="0.2">
      <c r="A24" s="1339"/>
      <c r="B24" s="1341"/>
      <c r="C24" s="1344"/>
      <c r="D24" s="1345"/>
      <c r="E24" s="1347"/>
      <c r="F24" s="1335"/>
      <c r="G24" s="1347"/>
      <c r="H24" s="1335"/>
      <c r="I24" s="126"/>
      <c r="J24" s="126"/>
      <c r="K24" s="126"/>
      <c r="L24" s="344" t="s">
        <v>40</v>
      </c>
      <c r="M24" s="345"/>
      <c r="N24" s="345"/>
      <c r="O24" s="346"/>
      <c r="P24" s="126"/>
      <c r="Q24" s="126"/>
    </row>
    <row r="25" spans="1:18" s="270" customFormat="1" ht="12.75" customHeight="1" x14ac:dyDescent="0.2">
      <c r="A25" s="1338" t="s">
        <v>22</v>
      </c>
      <c r="B25" s="1340"/>
      <c r="C25" s="1342"/>
      <c r="D25" s="1343"/>
      <c r="E25" s="1346"/>
      <c r="F25" s="1334"/>
      <c r="G25" s="1384"/>
      <c r="H25" s="1382">
        <f>ROUNDDOWN((C25-F25)*G25/100,0)</f>
        <v>0</v>
      </c>
      <c r="I25" s="126"/>
      <c r="J25" s="126"/>
      <c r="K25" s="126"/>
      <c r="L25" s="344" t="s">
        <v>41</v>
      </c>
      <c r="M25" s="277">
        <f ca="1">IF(O24&gt;2000,YEARFRAC(DATE(O24,N24,M24),TODAY()),0)</f>
        <v>0</v>
      </c>
      <c r="N25" s="278"/>
      <c r="O25" s="347"/>
      <c r="P25" s="126"/>
      <c r="Q25" s="126"/>
    </row>
    <row r="26" spans="1:18" s="270" customFormat="1" ht="12.75" customHeight="1" x14ac:dyDescent="0.2">
      <c r="A26" s="1339"/>
      <c r="B26" s="1341"/>
      <c r="C26" s="1344"/>
      <c r="D26" s="1345"/>
      <c r="E26" s="1347"/>
      <c r="F26" s="1335"/>
      <c r="G26" s="1385"/>
      <c r="H26" s="1383"/>
      <c r="I26" s="126"/>
      <c r="J26" s="126"/>
      <c r="K26" s="126"/>
      <c r="L26" s="344" t="s">
        <v>42</v>
      </c>
      <c r="M26" s="278"/>
      <c r="N26" s="278"/>
      <c r="O26" s="279"/>
      <c r="P26" s="126"/>
      <c r="Q26" s="126"/>
    </row>
    <row r="27" spans="1:18" s="270" customFormat="1" ht="12.75" customHeight="1" x14ac:dyDescent="0.2">
      <c r="A27" s="1338" t="s">
        <v>29</v>
      </c>
      <c r="B27" s="1340"/>
      <c r="C27" s="1342"/>
      <c r="D27" s="1343"/>
      <c r="E27" s="1346"/>
      <c r="F27" s="1334">
        <f>ROUNDDOWN(C27/100*E27,0)</f>
        <v>0</v>
      </c>
      <c r="G27" s="1346"/>
      <c r="H27" s="1334">
        <f>ROUNDDOWN((C27-F27)*G27/100,0)</f>
        <v>0</v>
      </c>
      <c r="I27" s="126"/>
      <c r="J27" s="126"/>
      <c r="K27" s="126"/>
      <c r="L27" s="344" t="s">
        <v>43</v>
      </c>
      <c r="M27" s="278"/>
      <c r="N27" s="278"/>
      <c r="O27" s="279">
        <v>10</v>
      </c>
      <c r="P27" s="126"/>
      <c r="Q27" s="126"/>
    </row>
    <row r="28" spans="1:18" s="270" customFormat="1" ht="12.75" customHeight="1" thickBot="1" x14ac:dyDescent="0.25">
      <c r="A28" s="1361"/>
      <c r="B28" s="1362"/>
      <c r="C28" s="1352"/>
      <c r="D28" s="1353"/>
      <c r="E28" s="1363"/>
      <c r="F28" s="1380"/>
      <c r="G28" s="1363"/>
      <c r="H28" s="1380"/>
      <c r="I28" s="126"/>
      <c r="J28" s="126"/>
      <c r="K28" s="126"/>
      <c r="L28" s="349" t="s">
        <v>44</v>
      </c>
      <c r="M28" s="350"/>
      <c r="N28" s="350"/>
      <c r="O28" s="351">
        <f ca="1">ROUNDDOWN(IF(O26/O27*(O27-M25)&gt;0,O26/O27*(O27-M25),0),0)</f>
        <v>0</v>
      </c>
      <c r="P28" s="126"/>
      <c r="Q28" s="126"/>
    </row>
    <row r="29" spans="1:18" s="270" customFormat="1" ht="12.75" customHeight="1" thickBot="1" x14ac:dyDescent="0.25">
      <c r="A29" s="1339"/>
      <c r="B29" s="1341"/>
      <c r="C29" s="1344"/>
      <c r="D29" s="1345"/>
      <c r="E29" s="1347"/>
      <c r="F29" s="1335"/>
      <c r="G29" s="1347"/>
      <c r="H29" s="1335"/>
      <c r="I29" s="126"/>
      <c r="J29" s="126"/>
      <c r="K29" s="126"/>
      <c r="L29" s="354" t="s">
        <v>48</v>
      </c>
      <c r="M29" s="355"/>
      <c r="N29" s="355"/>
      <c r="O29" s="356">
        <f ca="1">O28+O22+O16+O9</f>
        <v>0</v>
      </c>
      <c r="P29" s="126"/>
      <c r="Q29" s="126"/>
    </row>
    <row r="30" spans="1:18" s="270" customFormat="1" ht="25.5" x14ac:dyDescent="0.2">
      <c r="A30" s="287" t="s">
        <v>28</v>
      </c>
      <c r="B30" s="288"/>
      <c r="C30" s="1348"/>
      <c r="D30" s="1349"/>
      <c r="E30" s="289"/>
      <c r="F30" s="290">
        <f>ROUNDDOWN(C30/100*E30,0)</f>
        <v>0</v>
      </c>
      <c r="G30" s="289"/>
      <c r="H30" s="290">
        <f>ROUNDDOWN((C30-F30)*G30/100,0)</f>
        <v>0</v>
      </c>
      <c r="I30" s="126"/>
      <c r="J30" s="126"/>
      <c r="K30" s="126"/>
      <c r="L30" s="133"/>
      <c r="M30" s="133"/>
      <c r="N30" s="133"/>
      <c r="O30" s="133"/>
      <c r="P30" s="126"/>
      <c r="Q30" s="126"/>
    </row>
    <row r="31" spans="1:18" s="270" customFormat="1" ht="39.75" customHeight="1" x14ac:dyDescent="0.2">
      <c r="A31" s="291" t="s">
        <v>35</v>
      </c>
      <c r="B31" s="292"/>
      <c r="C31" s="1350"/>
      <c r="D31" s="1351"/>
      <c r="E31" s="293"/>
      <c r="F31" s="134">
        <f>ROUNDDOWN(C31/100*E31,0)</f>
        <v>0</v>
      </c>
      <c r="G31" s="293"/>
      <c r="H31" s="134">
        <f>ROUNDDOWN((C31-F31)*G31/100,0)</f>
        <v>0</v>
      </c>
      <c r="I31" s="126"/>
      <c r="J31" s="126"/>
      <c r="K31" s="126"/>
      <c r="L31" s="31"/>
      <c r="M31" s="31"/>
      <c r="N31" s="31"/>
      <c r="O31" s="31"/>
      <c r="P31" s="126"/>
      <c r="Q31" s="126"/>
    </row>
    <row r="32" spans="1:18" s="270" customFormat="1" ht="15.75" customHeight="1" x14ac:dyDescent="0.2">
      <c r="A32" s="294"/>
      <c r="B32" s="295"/>
      <c r="C32" s="296"/>
      <c r="D32" s="296"/>
      <c r="E32" s="297"/>
      <c r="F32" s="298"/>
      <c r="G32" s="299"/>
      <c r="H32" s="300"/>
      <c r="I32" s="126"/>
      <c r="J32" s="126"/>
      <c r="K32" s="126"/>
      <c r="L32" s="31"/>
      <c r="M32" s="31"/>
      <c r="N32" s="31"/>
      <c r="O32" s="31"/>
      <c r="P32" s="126"/>
      <c r="Q32" s="126"/>
    </row>
    <row r="33" spans="1:17" s="270" customFormat="1" ht="15" x14ac:dyDescent="0.2">
      <c r="A33" s="301" t="s">
        <v>34</v>
      </c>
      <c r="B33" s="302"/>
      <c r="C33" s="303"/>
      <c r="D33" s="303"/>
      <c r="E33" s="357" t="str">
        <f>IF(F33&gt;SUM(F21:F31,F14:F16,-1),"","Kürzung auf max. Beitrag je Betrieb")</f>
        <v/>
      </c>
      <c r="F33" s="304">
        <f>ROUNDDOWN((IF((SUM(F14:F16,F21:F31))&gt;J12,J12,SUM(F14:F16,F21:F31)))/2,0)*2</f>
        <v>0</v>
      </c>
      <c r="G33" s="305"/>
      <c r="H33" s="306">
        <f>SUM(H14:H16,H21:H31)</f>
        <v>0</v>
      </c>
      <c r="I33" s="126"/>
      <c r="J33" s="126"/>
      <c r="K33" s="126"/>
      <c r="L33" s="31"/>
      <c r="M33" s="31"/>
      <c r="N33" s="31"/>
      <c r="O33" s="31"/>
      <c r="P33" s="126"/>
      <c r="Q33" s="126"/>
    </row>
    <row r="34" spans="1:17" s="271" customFormat="1" ht="15" x14ac:dyDescent="0.2">
      <c r="A34" s="142"/>
      <c r="B34" s="33"/>
      <c r="C34" s="33"/>
      <c r="D34" s="33"/>
      <c r="E34" s="285"/>
      <c r="F34" s="307"/>
      <c r="G34" s="308"/>
      <c r="H34" s="309"/>
      <c r="I34" s="133"/>
      <c r="J34" s="133"/>
      <c r="K34" s="133"/>
      <c r="L34" s="31"/>
      <c r="M34" s="31"/>
      <c r="N34" s="31"/>
      <c r="O34" s="31"/>
      <c r="P34" s="133"/>
      <c r="Q34" s="133"/>
    </row>
    <row r="35" spans="1:17" s="209" customFormat="1" ht="12.75" customHeight="1" x14ac:dyDescent="0.2">
      <c r="A35" s="1375" t="s">
        <v>31</v>
      </c>
      <c r="B35" s="1375"/>
      <c r="C35" s="1375"/>
      <c r="D35" s="1376"/>
      <c r="E35" s="310"/>
      <c r="F35" s="311">
        <f>J16</f>
        <v>0</v>
      </c>
      <c r="G35" s="312"/>
      <c r="H35" s="313"/>
      <c r="I35" s="31"/>
      <c r="J35" s="31"/>
      <c r="K35" s="31"/>
      <c r="L35" s="31"/>
      <c r="M35" s="31"/>
      <c r="N35" s="31"/>
      <c r="O35" s="31"/>
      <c r="P35" s="31"/>
      <c r="Q35" s="31"/>
    </row>
    <row r="36" spans="1:17" s="209" customFormat="1" ht="12.75" customHeight="1" x14ac:dyDescent="0.2">
      <c r="A36" s="1099" t="s">
        <v>32</v>
      </c>
      <c r="B36" s="1099"/>
      <c r="C36" s="1099"/>
      <c r="D36" s="1099"/>
      <c r="E36" s="1099"/>
      <c r="F36" s="314">
        <f ca="1">-O29</f>
        <v>0</v>
      </c>
      <c r="G36" s="315"/>
      <c r="H36" s="316"/>
      <c r="I36" s="31"/>
      <c r="J36" s="31"/>
      <c r="K36" s="31"/>
      <c r="L36" s="31"/>
      <c r="M36" s="31"/>
      <c r="N36" s="31"/>
      <c r="O36" s="31"/>
      <c r="P36" s="31"/>
      <c r="Q36" s="31"/>
    </row>
    <row r="37" spans="1:17" s="209" customFormat="1" ht="12.75" customHeight="1" x14ac:dyDescent="0.2">
      <c r="A37" s="1067" t="s">
        <v>33</v>
      </c>
      <c r="B37" s="1067"/>
      <c r="C37" s="1067"/>
      <c r="D37" s="1004"/>
      <c r="E37" s="317"/>
      <c r="F37" s="318">
        <f ca="1">F39+F40</f>
        <v>0</v>
      </c>
      <c r="G37" s="319"/>
      <c r="H37" s="318">
        <f>ROUNDDOWN(IF(SUM(H14:H16,H21:H31)&gt;$J$12,$J$12+H35,SUM(H14:H16,H21:H31)+H35),0)</f>
        <v>0</v>
      </c>
      <c r="I37" s="31"/>
      <c r="J37" s="31"/>
      <c r="K37" s="31"/>
      <c r="L37" s="31"/>
      <c r="M37" s="31"/>
      <c r="N37" s="31"/>
      <c r="O37" s="31"/>
      <c r="P37" s="31"/>
      <c r="Q37" s="31"/>
    </row>
    <row r="38" spans="1:17" s="209" customFormat="1" ht="12.75" customHeight="1" x14ac:dyDescent="0.2">
      <c r="A38" s="142"/>
      <c r="B38" s="33"/>
      <c r="C38" s="33"/>
      <c r="D38" s="33"/>
      <c r="E38" s="193"/>
      <c r="F38" s="320"/>
      <c r="G38" s="321"/>
      <c r="H38" s="322"/>
      <c r="I38" s="31"/>
      <c r="J38" s="31"/>
      <c r="K38" s="31"/>
      <c r="L38" s="36"/>
      <c r="M38" s="36"/>
      <c r="N38" s="36"/>
      <c r="O38" s="36"/>
      <c r="P38" s="31"/>
      <c r="Q38" s="31"/>
    </row>
    <row r="39" spans="1:17" s="209" customFormat="1" ht="12.75" customHeight="1" x14ac:dyDescent="0.2">
      <c r="A39" s="1366" t="s">
        <v>10</v>
      </c>
      <c r="B39" s="1367"/>
      <c r="C39" s="1377" t="s">
        <v>8</v>
      </c>
      <c r="D39" s="1378"/>
      <c r="E39" s="323"/>
      <c r="F39" s="324">
        <f ca="1">F33/2+F35+F36</f>
        <v>0</v>
      </c>
      <c r="G39" s="321"/>
      <c r="H39" s="322"/>
      <c r="I39" s="31"/>
      <c r="J39" s="39"/>
      <c r="K39" s="325"/>
      <c r="L39" s="36"/>
      <c r="M39" s="36"/>
      <c r="N39" s="36"/>
      <c r="O39" s="36"/>
      <c r="P39" s="31"/>
      <c r="Q39" s="31"/>
    </row>
    <row r="40" spans="1:17" s="209" customFormat="1" ht="12.75" customHeight="1" x14ac:dyDescent="0.2">
      <c r="A40" s="1368"/>
      <c r="B40" s="1369"/>
      <c r="C40" s="1373" t="s">
        <v>16</v>
      </c>
      <c r="D40" s="1374"/>
      <c r="E40" s="326"/>
      <c r="F40" s="327">
        <f ca="1">F39</f>
        <v>0</v>
      </c>
      <c r="G40" s="321"/>
      <c r="H40" s="322"/>
      <c r="I40" s="31"/>
      <c r="J40" s="39"/>
      <c r="K40" s="328"/>
      <c r="L40" s="177"/>
      <c r="M40" s="177"/>
      <c r="N40" s="177"/>
      <c r="O40" s="177"/>
      <c r="P40" s="31"/>
      <c r="Q40" s="31"/>
    </row>
    <row r="41" spans="1:17" s="209" customFormat="1" ht="12.75" customHeight="1" x14ac:dyDescent="0.2">
      <c r="A41" s="147"/>
      <c r="B41" s="107"/>
      <c r="C41" s="107"/>
      <c r="D41" s="107"/>
      <c r="E41" s="107"/>
      <c r="F41" s="131"/>
      <c r="G41" s="107"/>
      <c r="H41" s="148"/>
      <c r="I41" s="31"/>
      <c r="J41" s="39"/>
      <c r="K41" s="39"/>
      <c r="L41" s="278"/>
      <c r="M41" s="278"/>
      <c r="N41" s="278"/>
      <c r="O41" s="278"/>
      <c r="P41" s="31"/>
      <c r="Q41" s="31"/>
    </row>
    <row r="42" spans="1:17" s="214" customFormat="1" ht="18" customHeight="1" x14ac:dyDescent="0.2">
      <c r="A42" s="993" t="s">
        <v>0</v>
      </c>
      <c r="B42" s="1287"/>
      <c r="C42" s="1287"/>
      <c r="D42" s="1287"/>
      <c r="E42" s="1287"/>
      <c r="F42" s="1287"/>
      <c r="G42" s="1287"/>
      <c r="H42" s="1220"/>
      <c r="I42" s="132"/>
      <c r="J42" s="36"/>
      <c r="K42" s="36"/>
      <c r="L42" s="278"/>
      <c r="M42" s="278"/>
      <c r="N42" s="278"/>
      <c r="O42" s="278"/>
      <c r="P42" s="36"/>
      <c r="Q42" s="36"/>
    </row>
    <row r="43" spans="1:17" s="214" customFormat="1" ht="12.75" customHeight="1" x14ac:dyDescent="0.2">
      <c r="A43" s="1370"/>
      <c r="B43" s="1371"/>
      <c r="C43" s="1371"/>
      <c r="D43" s="1371"/>
      <c r="E43" s="1371"/>
      <c r="F43" s="1371"/>
      <c r="G43" s="1371"/>
      <c r="H43" s="1372"/>
      <c r="I43" s="36"/>
      <c r="J43" s="36"/>
      <c r="K43" s="36"/>
      <c r="L43" s="278"/>
      <c r="M43" s="278"/>
      <c r="N43" s="278"/>
      <c r="O43" s="278"/>
      <c r="P43" s="36"/>
      <c r="Q43" s="36"/>
    </row>
    <row r="44" spans="1:17" s="219" customFormat="1" ht="12.75" customHeight="1" x14ac:dyDescent="0.2">
      <c r="A44" s="1370"/>
      <c r="B44" s="1371"/>
      <c r="C44" s="1371"/>
      <c r="D44" s="1371"/>
      <c r="E44" s="1371"/>
      <c r="F44" s="1371"/>
      <c r="G44" s="1371"/>
      <c r="H44" s="1372"/>
      <c r="I44" s="177"/>
      <c r="J44" s="177"/>
      <c r="K44" s="177"/>
      <c r="L44" s="278"/>
      <c r="M44" s="278"/>
      <c r="N44" s="278"/>
      <c r="O44" s="278"/>
      <c r="P44" s="177"/>
      <c r="Q44" s="177"/>
    </row>
    <row r="45" spans="1:17" s="269" customFormat="1" ht="12.75" customHeight="1" x14ac:dyDescent="0.2">
      <c r="A45" s="1370"/>
      <c r="B45" s="1371"/>
      <c r="C45" s="1371"/>
      <c r="D45" s="1371"/>
      <c r="E45" s="1371"/>
      <c r="F45" s="1371"/>
      <c r="G45" s="1371"/>
      <c r="H45" s="1372"/>
      <c r="I45" s="278"/>
      <c r="J45" s="278"/>
      <c r="K45" s="278"/>
      <c r="L45" s="278"/>
      <c r="M45" s="278"/>
      <c r="N45" s="278"/>
      <c r="O45" s="278"/>
      <c r="P45" s="278"/>
      <c r="Q45" s="278"/>
    </row>
    <row r="46" spans="1:17" s="269" customFormat="1" ht="12.75" customHeight="1" x14ac:dyDescent="0.2">
      <c r="A46" s="1370"/>
      <c r="B46" s="1371"/>
      <c r="C46" s="1371"/>
      <c r="D46" s="1371"/>
      <c r="E46" s="1371"/>
      <c r="F46" s="1371"/>
      <c r="G46" s="1371"/>
      <c r="H46" s="1372"/>
      <c r="I46" s="278"/>
      <c r="J46" s="278"/>
      <c r="K46" s="278"/>
      <c r="L46" s="278"/>
      <c r="M46" s="278"/>
      <c r="N46" s="278"/>
      <c r="O46" s="278"/>
      <c r="P46" s="278"/>
      <c r="Q46" s="278"/>
    </row>
    <row r="47" spans="1:17" s="269" customFormat="1" ht="12.75" customHeight="1" x14ac:dyDescent="0.2">
      <c r="A47" s="1370"/>
      <c r="B47" s="1371"/>
      <c r="C47" s="1371"/>
      <c r="D47" s="1371"/>
      <c r="E47" s="1371"/>
      <c r="F47" s="1371"/>
      <c r="G47" s="1371"/>
      <c r="H47" s="1372"/>
      <c r="I47" s="278"/>
      <c r="J47" s="278"/>
      <c r="K47" s="278"/>
      <c r="L47" s="278"/>
      <c r="M47" s="278"/>
      <c r="N47" s="278"/>
      <c r="O47" s="278"/>
      <c r="P47" s="278"/>
      <c r="Q47" s="278"/>
    </row>
    <row r="48" spans="1:17" s="269" customFormat="1" ht="12.75" customHeight="1" x14ac:dyDescent="0.2">
      <c r="A48" s="1370"/>
      <c r="B48" s="1371"/>
      <c r="C48" s="1371"/>
      <c r="D48" s="1371"/>
      <c r="E48" s="1371"/>
      <c r="F48" s="1371"/>
      <c r="G48" s="1371"/>
      <c r="H48" s="1372"/>
      <c r="I48" s="278"/>
      <c r="J48" s="278"/>
      <c r="K48" s="278"/>
      <c r="L48" s="278"/>
      <c r="M48" s="278"/>
      <c r="N48" s="278"/>
      <c r="O48" s="278"/>
      <c r="P48" s="278"/>
      <c r="Q48" s="278"/>
    </row>
    <row r="49" spans="1:17" s="269" customFormat="1" ht="12.75" customHeight="1" x14ac:dyDescent="0.2">
      <c r="A49" s="1370"/>
      <c r="B49" s="1371"/>
      <c r="C49" s="1371"/>
      <c r="D49" s="1371"/>
      <c r="E49" s="1371"/>
      <c r="F49" s="1371"/>
      <c r="G49" s="1371"/>
      <c r="H49" s="1372"/>
      <c r="I49" s="278"/>
      <c r="J49" s="278"/>
      <c r="K49" s="278"/>
      <c r="L49" s="278"/>
      <c r="M49" s="278"/>
      <c r="N49" s="278"/>
      <c r="O49" s="278"/>
      <c r="P49" s="278"/>
      <c r="Q49" s="278"/>
    </row>
    <row r="50" spans="1:17" s="269" customFormat="1" ht="12.75" customHeight="1" x14ac:dyDescent="0.2">
      <c r="A50" s="1370"/>
      <c r="B50" s="1371"/>
      <c r="C50" s="1371"/>
      <c r="D50" s="1371"/>
      <c r="E50" s="1371"/>
      <c r="F50" s="1371"/>
      <c r="G50" s="1371"/>
      <c r="H50" s="1372"/>
      <c r="I50" s="278"/>
      <c r="J50" s="278"/>
      <c r="K50" s="278"/>
      <c r="L50" s="278"/>
      <c r="M50" s="278"/>
      <c r="N50" s="278"/>
      <c r="O50" s="278"/>
      <c r="P50" s="278"/>
      <c r="Q50" s="278"/>
    </row>
    <row r="51" spans="1:17" s="269" customFormat="1" ht="12.75" customHeight="1" x14ac:dyDescent="0.2">
      <c r="A51" s="1370"/>
      <c r="B51" s="1371"/>
      <c r="C51" s="1371"/>
      <c r="D51" s="1371"/>
      <c r="E51" s="1371"/>
      <c r="F51" s="1371"/>
      <c r="G51" s="1371"/>
      <c r="H51" s="1372"/>
      <c r="I51" s="278"/>
      <c r="J51" s="278"/>
      <c r="K51" s="278"/>
      <c r="L51" s="278"/>
      <c r="M51" s="278"/>
      <c r="N51" s="278"/>
      <c r="O51" s="278"/>
      <c r="P51" s="278"/>
      <c r="Q51" s="278"/>
    </row>
    <row r="52" spans="1:17" s="269" customFormat="1" ht="12.75" customHeight="1" x14ac:dyDescent="0.2">
      <c r="A52" s="1370"/>
      <c r="B52" s="1371"/>
      <c r="C52" s="1371"/>
      <c r="D52" s="1371"/>
      <c r="E52" s="1371"/>
      <c r="F52" s="1371"/>
      <c r="G52" s="1371"/>
      <c r="H52" s="1372"/>
      <c r="I52" s="278"/>
      <c r="J52" s="278"/>
      <c r="K52" s="278"/>
      <c r="L52" s="278"/>
      <c r="M52" s="278"/>
      <c r="N52" s="278"/>
      <c r="O52" s="278"/>
      <c r="P52" s="278"/>
      <c r="Q52" s="278"/>
    </row>
    <row r="53" spans="1:17" s="269" customFormat="1" ht="12.75" customHeight="1" x14ac:dyDescent="0.2">
      <c r="A53" s="1370"/>
      <c r="B53" s="1371"/>
      <c r="C53" s="1371"/>
      <c r="D53" s="1371"/>
      <c r="E53" s="1371"/>
      <c r="F53" s="1371"/>
      <c r="G53" s="1371"/>
      <c r="H53" s="1372"/>
      <c r="I53" s="278"/>
      <c r="J53" s="278"/>
      <c r="K53" s="278"/>
      <c r="L53" s="278"/>
      <c r="M53" s="278"/>
      <c r="N53" s="278"/>
      <c r="O53" s="278"/>
      <c r="P53" s="278"/>
      <c r="Q53" s="278"/>
    </row>
    <row r="54" spans="1:17" s="269" customFormat="1" ht="12.75" customHeight="1" x14ac:dyDescent="0.2">
      <c r="A54" s="1370"/>
      <c r="B54" s="1371"/>
      <c r="C54" s="1371"/>
      <c r="D54" s="1371"/>
      <c r="E54" s="1371"/>
      <c r="F54" s="1371"/>
      <c r="G54" s="1371"/>
      <c r="H54" s="1372"/>
      <c r="I54" s="278"/>
      <c r="J54" s="278"/>
      <c r="K54" s="278"/>
      <c r="L54" s="278"/>
      <c r="M54" s="278"/>
      <c r="N54" s="278"/>
      <c r="O54" s="278"/>
      <c r="P54" s="278"/>
      <c r="Q54" s="278"/>
    </row>
    <row r="55" spans="1:17" s="269" customFormat="1" ht="12.75" customHeight="1" x14ac:dyDescent="0.2">
      <c r="A55" s="1370"/>
      <c r="B55" s="1371"/>
      <c r="C55" s="1371"/>
      <c r="D55" s="1371"/>
      <c r="E55" s="1371"/>
      <c r="F55" s="1371"/>
      <c r="G55" s="1371"/>
      <c r="H55" s="1372"/>
      <c r="I55" s="278"/>
      <c r="J55" s="278"/>
      <c r="K55" s="278"/>
      <c r="L55" s="278"/>
      <c r="M55" s="278"/>
      <c r="N55" s="278"/>
      <c r="O55" s="278"/>
      <c r="P55" s="278"/>
      <c r="Q55" s="278"/>
    </row>
    <row r="56" spans="1:17" s="269" customFormat="1" ht="12.75" customHeight="1" x14ac:dyDescent="0.2">
      <c r="A56" s="1370"/>
      <c r="B56" s="1371"/>
      <c r="C56" s="1371"/>
      <c r="D56" s="1371"/>
      <c r="E56" s="1371"/>
      <c r="F56" s="1371"/>
      <c r="G56" s="1371"/>
      <c r="H56" s="1372"/>
      <c r="I56" s="278"/>
      <c r="J56" s="278"/>
      <c r="K56" s="278"/>
      <c r="L56" s="278"/>
      <c r="M56" s="278"/>
      <c r="N56" s="278"/>
      <c r="O56" s="278"/>
      <c r="P56" s="278"/>
      <c r="Q56" s="278"/>
    </row>
    <row r="57" spans="1:17" s="269" customFormat="1" ht="12.75" customHeight="1" x14ac:dyDescent="0.2">
      <c r="A57" s="329"/>
      <c r="B57" s="330"/>
      <c r="C57" s="330"/>
      <c r="D57" s="330"/>
      <c r="E57" s="330"/>
      <c r="F57" s="330"/>
      <c r="G57" s="330"/>
      <c r="H57" s="331"/>
      <c r="I57" s="278"/>
      <c r="J57" s="278"/>
      <c r="K57" s="278"/>
      <c r="L57" s="278"/>
      <c r="M57" s="278"/>
      <c r="N57" s="278"/>
      <c r="O57" s="278"/>
      <c r="P57" s="278"/>
      <c r="Q57" s="278"/>
    </row>
    <row r="58" spans="1:17" s="269" customFormat="1" ht="4.5" customHeight="1" x14ac:dyDescent="0.2">
      <c r="A58" s="329"/>
      <c r="B58" s="330"/>
      <c r="C58" s="330"/>
      <c r="D58" s="330"/>
      <c r="E58" s="330"/>
      <c r="F58" s="330"/>
      <c r="G58" s="330"/>
      <c r="H58" s="331"/>
      <c r="I58" s="278"/>
      <c r="J58" s="278"/>
      <c r="K58" s="278"/>
      <c r="L58" s="84"/>
      <c r="M58" s="84"/>
      <c r="N58" s="84"/>
      <c r="O58" s="84"/>
      <c r="P58" s="278"/>
      <c r="Q58" s="278"/>
    </row>
    <row r="59" spans="1:17" s="269" customFormat="1" ht="10.5" hidden="1" customHeight="1" x14ac:dyDescent="0.2">
      <c r="A59" s="329"/>
      <c r="B59" s="330"/>
      <c r="C59" s="330"/>
      <c r="D59" s="330"/>
      <c r="E59" s="330"/>
      <c r="F59" s="330"/>
      <c r="G59" s="330"/>
      <c r="H59" s="331"/>
      <c r="I59" s="278"/>
      <c r="J59" s="278"/>
      <c r="K59" s="278"/>
      <c r="L59" s="84"/>
      <c r="M59" s="84"/>
      <c r="N59" s="84"/>
      <c r="O59" s="84"/>
      <c r="P59" s="278"/>
      <c r="Q59" s="278"/>
    </row>
    <row r="60" spans="1:17" s="269" customFormat="1" ht="12.75" hidden="1" customHeight="1" x14ac:dyDescent="0.2">
      <c r="A60" s="332"/>
      <c r="F60" s="333"/>
      <c r="H60" s="334"/>
      <c r="I60" s="278"/>
      <c r="J60" s="278"/>
      <c r="K60" s="278"/>
      <c r="L60" s="84"/>
      <c r="M60" s="84"/>
      <c r="N60" s="84"/>
      <c r="O60" s="84"/>
      <c r="P60" s="278"/>
      <c r="Q60" s="278"/>
    </row>
    <row r="61" spans="1:17" s="269" customFormat="1" ht="12.75" customHeight="1" x14ac:dyDescent="0.2">
      <c r="A61" s="272"/>
      <c r="B61" s="205"/>
      <c r="C61" s="210"/>
      <c r="D61" s="210"/>
      <c r="E61" s="205"/>
      <c r="F61" s="273"/>
      <c r="G61" s="210"/>
      <c r="H61" s="274"/>
      <c r="I61" s="278"/>
      <c r="J61" s="278"/>
      <c r="K61" s="278"/>
      <c r="L61" s="84"/>
      <c r="M61" s="84"/>
      <c r="N61" s="84"/>
      <c r="O61" s="84"/>
      <c r="P61" s="278"/>
      <c r="Q61" s="278"/>
    </row>
    <row r="62" spans="1:17" x14ac:dyDescent="0.2">
      <c r="A62" s="272"/>
      <c r="B62" s="205"/>
      <c r="C62" s="205"/>
      <c r="D62" s="210"/>
      <c r="E62" s="205"/>
      <c r="F62" s="273"/>
      <c r="G62" s="210"/>
      <c r="H62" s="274"/>
      <c r="I62" s="278"/>
      <c r="J62" s="278"/>
      <c r="K62" s="278"/>
    </row>
    <row r="63" spans="1:17" x14ac:dyDescent="0.2">
      <c r="A63" s="272"/>
      <c r="B63" s="205"/>
      <c r="C63" s="210"/>
      <c r="D63" s="275"/>
      <c r="E63" s="205"/>
      <c r="F63" s="273"/>
      <c r="G63" s="205"/>
      <c r="H63" s="276"/>
      <c r="I63" s="278"/>
      <c r="J63" s="278"/>
      <c r="K63" s="278"/>
    </row>
    <row r="64" spans="1:17" x14ac:dyDescent="0.2">
      <c r="A64" s="335"/>
      <c r="B64" s="336"/>
      <c r="C64" s="336"/>
      <c r="D64" s="337"/>
      <c r="E64" s="206"/>
      <c r="F64" s="338"/>
      <c r="G64" s="206"/>
      <c r="H64" s="339"/>
      <c r="I64" s="278"/>
      <c r="J64" s="278"/>
      <c r="K64" s="278"/>
    </row>
    <row r="65" spans="1:11" x14ac:dyDescent="0.2">
      <c r="A65" s="278"/>
      <c r="B65" s="278"/>
      <c r="C65" s="278"/>
      <c r="D65" s="39"/>
      <c r="E65" s="39"/>
      <c r="F65" s="143"/>
      <c r="G65" s="39"/>
      <c r="H65" s="39"/>
      <c r="I65" s="278"/>
      <c r="J65" s="278"/>
      <c r="K65" s="278"/>
    </row>
    <row r="66" spans="1:11" x14ac:dyDescent="0.2">
      <c r="A66" s="278"/>
      <c r="B66" s="278"/>
      <c r="C66" s="278"/>
      <c r="D66" s="39"/>
      <c r="E66" s="39"/>
      <c r="F66" s="143"/>
      <c r="G66" s="44"/>
      <c r="H66" s="44"/>
      <c r="I66" s="278"/>
      <c r="J66" s="278"/>
      <c r="K66" s="278"/>
    </row>
    <row r="67" spans="1:11" x14ac:dyDescent="0.2">
      <c r="A67" s="278"/>
      <c r="B67" s="278"/>
      <c r="C67" s="278"/>
      <c r="D67" s="39"/>
      <c r="E67" s="39"/>
      <c r="F67" s="143"/>
      <c r="G67" s="39"/>
      <c r="H67" s="39"/>
      <c r="I67" s="278"/>
      <c r="J67" s="278"/>
      <c r="K67" s="278"/>
    </row>
    <row r="68" spans="1:11" x14ac:dyDescent="0.2">
      <c r="A68" s="278"/>
      <c r="B68" s="278"/>
      <c r="C68" s="278"/>
      <c r="D68" s="39"/>
      <c r="E68" s="39"/>
      <c r="F68" s="143"/>
      <c r="G68" s="44"/>
      <c r="H68" s="44"/>
      <c r="I68" s="278"/>
      <c r="J68" s="278"/>
      <c r="K68" s="278"/>
    </row>
    <row r="69" spans="1:11" x14ac:dyDescent="0.2">
      <c r="A69" s="278"/>
      <c r="B69" s="278"/>
      <c r="C69" s="278"/>
      <c r="D69" s="39"/>
      <c r="E69" s="39"/>
      <c r="F69" s="143"/>
      <c r="G69" s="39"/>
      <c r="H69" s="39"/>
      <c r="I69" s="278"/>
      <c r="J69" s="278"/>
      <c r="K69" s="278"/>
    </row>
    <row r="70" spans="1:11" x14ac:dyDescent="0.2">
      <c r="A70" s="84"/>
      <c r="B70" s="84"/>
      <c r="C70" s="84"/>
      <c r="D70" s="84"/>
      <c r="E70" s="84"/>
      <c r="F70" s="340"/>
      <c r="G70" s="84"/>
      <c r="H70" s="84"/>
      <c r="I70" s="278"/>
      <c r="J70" s="278"/>
      <c r="K70" s="278"/>
    </row>
  </sheetData>
  <mergeCells count="62">
    <mergeCell ref="H27:H29"/>
    <mergeCell ref="L2:O3"/>
    <mergeCell ref="F19:F20"/>
    <mergeCell ref="G19:G20"/>
    <mergeCell ref="H19:H20"/>
    <mergeCell ref="H25:H26"/>
    <mergeCell ref="F27:F29"/>
    <mergeCell ref="G25:G26"/>
    <mergeCell ref="B3:H3"/>
    <mergeCell ref="B4:H4"/>
    <mergeCell ref="B5:H5"/>
    <mergeCell ref="B6:H6"/>
    <mergeCell ref="B7:H7"/>
    <mergeCell ref="B8:H8"/>
    <mergeCell ref="D9:H9"/>
    <mergeCell ref="B25:B26"/>
    <mergeCell ref="G27:G29"/>
    <mergeCell ref="A19:A20"/>
    <mergeCell ref="B19:B20"/>
    <mergeCell ref="C19:D20"/>
    <mergeCell ref="E19:E20"/>
    <mergeCell ref="A25:A26"/>
    <mergeCell ref="F21:F22"/>
    <mergeCell ref="G21:G22"/>
    <mergeCell ref="A42:H42"/>
    <mergeCell ref="A39:B40"/>
    <mergeCell ref="A43:H56"/>
    <mergeCell ref="A36:E36"/>
    <mergeCell ref="A23:A24"/>
    <mergeCell ref="B23:B24"/>
    <mergeCell ref="C23:D24"/>
    <mergeCell ref="E23:E24"/>
    <mergeCell ref="F23:F24"/>
    <mergeCell ref="G23:G24"/>
    <mergeCell ref="H23:H24"/>
    <mergeCell ref="C40:D40"/>
    <mergeCell ref="A37:D37"/>
    <mergeCell ref="A35:D35"/>
    <mergeCell ref="C39:D39"/>
    <mergeCell ref="C25:D26"/>
    <mergeCell ref="A1:E1"/>
    <mergeCell ref="A2:F2"/>
    <mergeCell ref="C30:D30"/>
    <mergeCell ref="C31:D31"/>
    <mergeCell ref="C27:D29"/>
    <mergeCell ref="A18:F18"/>
    <mergeCell ref="A12:F12"/>
    <mergeCell ref="A13:B13"/>
    <mergeCell ref="A14:B14"/>
    <mergeCell ref="A16:B16"/>
    <mergeCell ref="A27:A29"/>
    <mergeCell ref="B27:B29"/>
    <mergeCell ref="E27:E29"/>
    <mergeCell ref="B9:C9"/>
    <mergeCell ref="E25:E26"/>
    <mergeCell ref="F25:F26"/>
    <mergeCell ref="H21:H22"/>
    <mergeCell ref="A15:B15"/>
    <mergeCell ref="A21:A22"/>
    <mergeCell ref="B21:B22"/>
    <mergeCell ref="C21:D22"/>
    <mergeCell ref="E21:E22"/>
  </mergeCells>
  <conditionalFormatting sqref="E30:E31 E23">
    <cfRule type="cellIs" dxfId="3" priority="4" operator="greaterThan">
      <formula>50</formula>
    </cfRule>
  </conditionalFormatting>
  <conditionalFormatting sqref="G30:G31 G23">
    <cfRule type="cellIs" dxfId="2" priority="3" operator="greaterThan">
      <formula>50</formula>
    </cfRule>
  </conditionalFormatting>
  <conditionalFormatting sqref="E21">
    <cfRule type="cellIs" dxfId="1" priority="2" operator="greaterThan">
      <formula>50</formula>
    </cfRule>
  </conditionalFormatting>
  <conditionalFormatting sqref="G21">
    <cfRule type="cellIs" dxfId="0" priority="1" operator="greaterThan">
      <formula>50</formula>
    </cfRule>
  </conditionalFormatting>
  <pageMargins left="0.78740157480314965" right="0.59055118110236227" top="0.78740157480314965" bottom="0.59055118110236227" header="0.31496062992125984" footer="0.31496062992125984"/>
  <pageSetup paperSize="9" scale="89" orientation="portrait" r:id="rId1"/>
  <headerFooter alignWithMargins="0">
    <oddHeader>&amp;L&amp;8Bundesamt für Landwirtschaft&amp;R&amp;8gültig ab 1.1.2021</oddHeader>
    <oddFooter>&amp;L&amp;8&amp;D; &amp;T&amp;C&amp;8Investitionshilfen: Ökologische Ziele&amp;R&amp;8&amp;A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67"/>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1" width="58.140625" style="17" customWidth="1"/>
    <col min="2" max="2" width="10.7109375" style="17" customWidth="1"/>
    <col min="3" max="3" width="10.7109375" style="54" customWidth="1"/>
    <col min="4" max="4" width="10.7109375" style="17" customWidth="1"/>
    <col min="5" max="5" width="8.42578125" style="17" customWidth="1"/>
    <col min="6" max="6" width="2.28515625" style="13" customWidth="1"/>
    <col min="7" max="7" width="14.28515625" style="13" customWidth="1"/>
    <col min="8" max="8" width="19.85546875" style="13" customWidth="1"/>
    <col min="9" max="16384" width="11.42578125" style="13"/>
  </cols>
  <sheetData>
    <row r="1" spans="1:9" s="2" customFormat="1" ht="25.15" customHeight="1" x14ac:dyDescent="0.2">
      <c r="A1" s="967" t="s">
        <v>61</v>
      </c>
      <c r="B1" s="968"/>
      <c r="C1" s="968"/>
      <c r="D1" s="968"/>
      <c r="E1" s="729"/>
      <c r="F1" s="170"/>
      <c r="G1" s="170"/>
      <c r="H1" s="170"/>
      <c r="I1" s="170"/>
    </row>
    <row r="2" spans="1:9" s="6" customFormat="1" ht="12.75" customHeight="1" x14ac:dyDescent="0.2">
      <c r="A2" s="976"/>
      <c r="B2" s="977"/>
      <c r="C2" s="977"/>
      <c r="D2" s="977"/>
      <c r="E2" s="977"/>
      <c r="F2" s="977"/>
    </row>
    <row r="3" spans="1:9" s="6" customFormat="1" ht="12.75" customHeight="1" x14ac:dyDescent="0.2">
      <c r="A3" s="782" t="s">
        <v>88</v>
      </c>
      <c r="B3" s="978"/>
      <c r="C3" s="979"/>
      <c r="D3" s="979"/>
      <c r="E3" s="980"/>
    </row>
    <row r="4" spans="1:9" s="6" customFormat="1" ht="12.75" customHeight="1" x14ac:dyDescent="0.2">
      <c r="A4" s="783" t="s">
        <v>89</v>
      </c>
      <c r="B4" s="987"/>
      <c r="C4" s="988"/>
      <c r="D4" s="989"/>
      <c r="E4" s="990"/>
    </row>
    <row r="5" spans="1:9" s="6" customFormat="1" ht="12.75" customHeight="1" x14ac:dyDescent="0.2">
      <c r="A5" s="769" t="s">
        <v>90</v>
      </c>
      <c r="B5" s="969"/>
      <c r="C5" s="970"/>
      <c r="D5" s="970"/>
      <c r="E5" s="971"/>
    </row>
    <row r="6" spans="1:9" s="6" customFormat="1" ht="12.75" customHeight="1" x14ac:dyDescent="0.2">
      <c r="A6" s="768" t="s">
        <v>91</v>
      </c>
      <c r="B6" s="972"/>
      <c r="C6" s="970"/>
      <c r="D6" s="970"/>
      <c r="E6" s="971"/>
    </row>
    <row r="7" spans="1:9" s="6" customFormat="1" ht="12.75" customHeight="1" x14ac:dyDescent="0.2">
      <c r="A7" s="780" t="s">
        <v>87</v>
      </c>
      <c r="B7" s="973"/>
      <c r="C7" s="974"/>
      <c r="D7" s="974"/>
      <c r="E7" s="975"/>
    </row>
    <row r="8" spans="1:9" s="6" customFormat="1" ht="12.75" customHeight="1" x14ac:dyDescent="0.2">
      <c r="A8" s="976"/>
      <c r="B8" s="977"/>
      <c r="C8" s="977"/>
      <c r="D8" s="977"/>
      <c r="E8" s="977"/>
      <c r="F8" s="977"/>
    </row>
    <row r="9" spans="1:9" s="235" customFormat="1" ht="12.75" customHeight="1" x14ac:dyDescent="0.2">
      <c r="A9" s="993" t="s">
        <v>92</v>
      </c>
      <c r="B9" s="995" t="s">
        <v>62</v>
      </c>
      <c r="C9" s="997" t="s">
        <v>63</v>
      </c>
      <c r="D9" s="1002" t="s">
        <v>64</v>
      </c>
      <c r="E9" s="991" t="s">
        <v>65</v>
      </c>
      <c r="F9" s="6"/>
    </row>
    <row r="10" spans="1:9" s="235" customFormat="1" ht="12.75" customHeight="1" x14ac:dyDescent="0.2">
      <c r="A10" s="994"/>
      <c r="B10" s="996"/>
      <c r="C10" s="998"/>
      <c r="D10" s="1003"/>
      <c r="E10" s="992"/>
      <c r="F10" s="6"/>
    </row>
    <row r="11" spans="1:9" s="733" customFormat="1" x14ac:dyDescent="0.2">
      <c r="A11" s="416" t="s">
        <v>93</v>
      </c>
      <c r="B11" s="471" t="s">
        <v>2</v>
      </c>
      <c r="C11" s="472"/>
      <c r="D11" s="104">
        <v>2.1999999999999999E-2</v>
      </c>
      <c r="E11" s="473">
        <f t="shared" ref="E11:E17" si="0">C11*D11</f>
        <v>0</v>
      </c>
      <c r="F11" s="73"/>
    </row>
    <row r="12" spans="1:9" s="733" customFormat="1" x14ac:dyDescent="0.2">
      <c r="A12" s="514" t="s">
        <v>94</v>
      </c>
      <c r="B12" s="367" t="s">
        <v>2</v>
      </c>
      <c r="C12" s="474"/>
      <c r="D12" s="80">
        <v>0.32300000000000001</v>
      </c>
      <c r="E12" s="475">
        <f t="shared" si="0"/>
        <v>0</v>
      </c>
      <c r="F12" s="73"/>
    </row>
    <row r="13" spans="1:9" s="733" customFormat="1" x14ac:dyDescent="0.2">
      <c r="A13" s="514" t="s">
        <v>95</v>
      </c>
      <c r="B13" s="367" t="s">
        <v>2</v>
      </c>
      <c r="C13" s="474"/>
      <c r="D13" s="80">
        <v>1.077</v>
      </c>
      <c r="E13" s="475">
        <f t="shared" si="0"/>
        <v>0</v>
      </c>
      <c r="F13" s="73"/>
    </row>
    <row r="14" spans="1:9" s="733" customFormat="1" x14ac:dyDescent="0.2">
      <c r="A14" s="514" t="s">
        <v>96</v>
      </c>
      <c r="B14" s="367" t="s">
        <v>66</v>
      </c>
      <c r="C14" s="474"/>
      <c r="D14" s="80">
        <v>3.9E-2</v>
      </c>
      <c r="E14" s="475">
        <f t="shared" si="0"/>
        <v>0</v>
      </c>
      <c r="F14" s="73"/>
    </row>
    <row r="15" spans="1:9" s="733" customFormat="1" x14ac:dyDescent="0.2">
      <c r="A15" s="514" t="s">
        <v>97</v>
      </c>
      <c r="B15" s="367" t="s">
        <v>66</v>
      </c>
      <c r="C15" s="474"/>
      <c r="D15" s="80">
        <v>8.0000000000000002E-3</v>
      </c>
      <c r="E15" s="475">
        <f t="shared" si="0"/>
        <v>0</v>
      </c>
      <c r="F15" s="73"/>
    </row>
    <row r="16" spans="1:9" s="733" customFormat="1" x14ac:dyDescent="0.2">
      <c r="A16" s="514" t="s">
        <v>98</v>
      </c>
      <c r="B16" s="367" t="s">
        <v>66</v>
      </c>
      <c r="C16" s="474"/>
      <c r="D16" s="80">
        <v>3.2000000000000001E-2</v>
      </c>
      <c r="E16" s="475">
        <f t="shared" si="0"/>
        <v>0</v>
      </c>
      <c r="F16" s="73"/>
    </row>
    <row r="17" spans="1:6" s="733" customFormat="1" x14ac:dyDescent="0.2">
      <c r="A17" s="514" t="s">
        <v>99</v>
      </c>
      <c r="B17" s="367" t="s">
        <v>66</v>
      </c>
      <c r="C17" s="474"/>
      <c r="D17" s="80">
        <v>2.7E-2</v>
      </c>
      <c r="E17" s="475">
        <f t="shared" si="0"/>
        <v>0</v>
      </c>
      <c r="F17" s="73"/>
    </row>
    <row r="18" spans="1:6" s="733" customFormat="1" x14ac:dyDescent="0.2">
      <c r="A18" s="514" t="s">
        <v>100</v>
      </c>
      <c r="B18" s="367" t="s">
        <v>2</v>
      </c>
      <c r="C18" s="474"/>
      <c r="D18" s="80">
        <v>1.6E-2</v>
      </c>
      <c r="E18" s="475">
        <f>C18*D18</f>
        <v>0</v>
      </c>
      <c r="F18" s="73"/>
    </row>
    <row r="19" spans="1:6" s="733" customFormat="1" x14ac:dyDescent="0.2">
      <c r="A19" s="514" t="s">
        <v>101</v>
      </c>
      <c r="B19" s="367" t="s">
        <v>2</v>
      </c>
      <c r="C19" s="474"/>
      <c r="D19" s="80">
        <v>2.7E-2</v>
      </c>
      <c r="E19" s="475">
        <f>C19*D19</f>
        <v>0</v>
      </c>
      <c r="F19" s="73"/>
    </row>
    <row r="20" spans="1:6" s="733" customFormat="1" x14ac:dyDescent="0.2">
      <c r="A20" s="514" t="s">
        <v>102</v>
      </c>
      <c r="B20" s="367" t="s">
        <v>2</v>
      </c>
      <c r="C20" s="474"/>
      <c r="D20" s="80">
        <v>5.3999999999999999E-2</v>
      </c>
      <c r="E20" s="475">
        <f>C20*D20</f>
        <v>0</v>
      </c>
      <c r="F20" s="73"/>
    </row>
    <row r="21" spans="1:6" s="733" customFormat="1" x14ac:dyDescent="0.2">
      <c r="A21" s="514" t="s">
        <v>103</v>
      </c>
      <c r="B21" s="367" t="s">
        <v>67</v>
      </c>
      <c r="C21" s="476"/>
      <c r="D21" s="80" t="s">
        <v>73</v>
      </c>
      <c r="E21" s="475" t="str">
        <f>IF(C21=1,SUM(E11:E13)*0.2,"")</f>
        <v/>
      </c>
      <c r="F21" s="73"/>
    </row>
    <row r="22" spans="1:6" s="733" customFormat="1" x14ac:dyDescent="0.2">
      <c r="A22" s="442" t="s">
        <v>104</v>
      </c>
      <c r="B22" s="477" t="s">
        <v>68</v>
      </c>
      <c r="C22" s="478"/>
      <c r="D22" s="82">
        <v>1E-3</v>
      </c>
      <c r="E22" s="479">
        <f>C22*D22</f>
        <v>0</v>
      </c>
      <c r="F22" s="73"/>
    </row>
    <row r="23" spans="1:6" s="235" customFormat="1" x14ac:dyDescent="0.2">
      <c r="A23" s="480" t="s">
        <v>105</v>
      </c>
      <c r="B23" s="699"/>
      <c r="C23" s="481"/>
      <c r="D23" s="464"/>
      <c r="E23" s="179">
        <f>SUM(E11:E22)</f>
        <v>0</v>
      </c>
      <c r="F23" s="6"/>
    </row>
    <row r="24" spans="1:6" s="733" customFormat="1" x14ac:dyDescent="0.2">
      <c r="A24" s="482" t="s">
        <v>106</v>
      </c>
      <c r="B24" s="483"/>
      <c r="C24" s="484"/>
      <c r="D24" s="83"/>
      <c r="E24" s="485"/>
      <c r="F24" s="73"/>
    </row>
    <row r="25" spans="1:6" s="733" customFormat="1" x14ac:dyDescent="0.2">
      <c r="A25" s="514" t="s">
        <v>107</v>
      </c>
      <c r="B25" s="367" t="s">
        <v>2</v>
      </c>
      <c r="C25" s="474"/>
      <c r="D25" s="80">
        <v>3.9E-2</v>
      </c>
      <c r="E25" s="475">
        <f t="shared" ref="E25:E39" si="1">C25*D25</f>
        <v>0</v>
      </c>
      <c r="F25" s="73"/>
    </row>
    <row r="26" spans="1:6" s="733" customFormat="1" x14ac:dyDescent="0.2">
      <c r="A26" s="514" t="s">
        <v>108</v>
      </c>
      <c r="B26" s="367" t="s">
        <v>2</v>
      </c>
      <c r="C26" s="474"/>
      <c r="D26" s="80">
        <v>0.32300000000000001</v>
      </c>
      <c r="E26" s="475">
        <f t="shared" si="1"/>
        <v>0</v>
      </c>
      <c r="F26" s="73"/>
    </row>
    <row r="27" spans="1:6" s="733" customFormat="1" x14ac:dyDescent="0.2">
      <c r="A27" s="514" t="s">
        <v>109</v>
      </c>
      <c r="B27" s="367" t="s">
        <v>2</v>
      </c>
      <c r="C27" s="474"/>
      <c r="D27" s="80">
        <v>0.32300000000000001</v>
      </c>
      <c r="E27" s="475">
        <f t="shared" si="1"/>
        <v>0</v>
      </c>
      <c r="F27" s="73"/>
    </row>
    <row r="28" spans="1:6" s="733" customFormat="1" x14ac:dyDescent="0.2">
      <c r="A28" s="514" t="s">
        <v>110</v>
      </c>
      <c r="B28" s="367" t="s">
        <v>2</v>
      </c>
      <c r="C28" s="474"/>
      <c r="D28" s="80">
        <v>4.8000000000000001E-2</v>
      </c>
      <c r="E28" s="475">
        <f t="shared" si="1"/>
        <v>0</v>
      </c>
      <c r="F28" s="73"/>
    </row>
    <row r="29" spans="1:6" s="733" customFormat="1" x14ac:dyDescent="0.2">
      <c r="A29" s="514" t="s">
        <v>111</v>
      </c>
      <c r="B29" s="367" t="s">
        <v>2</v>
      </c>
      <c r="C29" s="474"/>
      <c r="D29" s="80">
        <v>0.96899999999999997</v>
      </c>
      <c r="E29" s="475">
        <f>C29*D29</f>
        <v>0</v>
      </c>
      <c r="F29" s="73"/>
    </row>
    <row r="30" spans="1:6" s="733" customFormat="1" x14ac:dyDescent="0.2">
      <c r="A30" s="514" t="s">
        <v>112</v>
      </c>
      <c r="B30" s="367" t="s">
        <v>2</v>
      </c>
      <c r="C30" s="474"/>
      <c r="D30" s="80">
        <v>0.48499999999999999</v>
      </c>
      <c r="E30" s="475">
        <f>C30*D30</f>
        <v>0</v>
      </c>
      <c r="F30" s="73"/>
    </row>
    <row r="31" spans="1:6" s="733" customFormat="1" x14ac:dyDescent="0.2">
      <c r="A31" s="486" t="s">
        <v>113</v>
      </c>
      <c r="B31" s="367"/>
      <c r="C31" s="487"/>
      <c r="D31" s="80"/>
      <c r="E31" s="475"/>
      <c r="F31" s="73"/>
    </row>
    <row r="32" spans="1:6" s="733" customFormat="1" x14ac:dyDescent="0.2">
      <c r="A32" s="514" t="s">
        <v>114</v>
      </c>
      <c r="B32" s="367" t="s">
        <v>2</v>
      </c>
      <c r="C32" s="474"/>
      <c r="D32" s="80">
        <v>1.2999999999999999E-2</v>
      </c>
      <c r="E32" s="475">
        <f t="shared" si="1"/>
        <v>0</v>
      </c>
      <c r="F32" s="73"/>
    </row>
    <row r="33" spans="1:6" s="733" customFormat="1" x14ac:dyDescent="0.2">
      <c r="A33" s="514" t="s">
        <v>115</v>
      </c>
      <c r="B33" s="367" t="s">
        <v>69</v>
      </c>
      <c r="C33" s="474"/>
      <c r="D33" s="80">
        <v>1.6E-2</v>
      </c>
      <c r="E33" s="475">
        <f t="shared" si="1"/>
        <v>0</v>
      </c>
      <c r="F33" s="73"/>
    </row>
    <row r="34" spans="1:6" s="733" customFormat="1" x14ac:dyDescent="0.2">
      <c r="A34" s="514" t="s">
        <v>70</v>
      </c>
      <c r="B34" s="367" t="s">
        <v>69</v>
      </c>
      <c r="C34" s="474"/>
      <c r="D34" s="80">
        <v>1.0999999999999999E-2</v>
      </c>
      <c r="E34" s="475">
        <f t="shared" si="1"/>
        <v>0</v>
      </c>
      <c r="F34" s="73"/>
    </row>
    <row r="35" spans="1:6" s="733" customFormat="1" x14ac:dyDescent="0.2">
      <c r="A35" s="514" t="s">
        <v>116</v>
      </c>
      <c r="B35" s="367" t="s">
        <v>71</v>
      </c>
      <c r="C35" s="474"/>
      <c r="D35" s="80">
        <v>6.5000000000000002E-2</v>
      </c>
      <c r="E35" s="475">
        <f t="shared" si="1"/>
        <v>0</v>
      </c>
      <c r="F35" s="73"/>
    </row>
    <row r="36" spans="1:6" s="733" customFormat="1" x14ac:dyDescent="0.2">
      <c r="A36" s="514" t="s">
        <v>117</v>
      </c>
      <c r="B36" s="367" t="s">
        <v>71</v>
      </c>
      <c r="C36" s="474"/>
      <c r="D36" s="80">
        <v>0.26900000000000002</v>
      </c>
      <c r="E36" s="475">
        <f t="shared" si="1"/>
        <v>0</v>
      </c>
      <c r="F36" s="73"/>
    </row>
    <row r="37" spans="1:6" s="733" customFormat="1" x14ac:dyDescent="0.2">
      <c r="A37" s="514" t="s">
        <v>118</v>
      </c>
      <c r="B37" s="367" t="s">
        <v>71</v>
      </c>
      <c r="C37" s="474"/>
      <c r="D37" s="80">
        <v>0.26900000000000002</v>
      </c>
      <c r="E37" s="475">
        <f t="shared" si="1"/>
        <v>0</v>
      </c>
      <c r="F37" s="73"/>
    </row>
    <row r="38" spans="1:6" s="733" customFormat="1" x14ac:dyDescent="0.2">
      <c r="A38" s="514" t="s">
        <v>119</v>
      </c>
      <c r="B38" s="367" t="s">
        <v>71</v>
      </c>
      <c r="C38" s="474"/>
      <c r="D38" s="80">
        <v>1.077</v>
      </c>
      <c r="E38" s="475">
        <f t="shared" si="1"/>
        <v>0</v>
      </c>
      <c r="F38" s="73"/>
    </row>
    <row r="39" spans="1:6" s="734" customFormat="1" ht="25.5" customHeight="1" x14ac:dyDescent="0.2">
      <c r="A39" s="784" t="s">
        <v>120</v>
      </c>
      <c r="B39" s="367" t="s">
        <v>2</v>
      </c>
      <c r="C39" s="497"/>
      <c r="D39" s="494">
        <v>2.585</v>
      </c>
      <c r="E39" s="495">
        <f t="shared" si="1"/>
        <v>0</v>
      </c>
      <c r="F39" s="496"/>
    </row>
    <row r="40" spans="1:6" s="734" customFormat="1" ht="25.5" x14ac:dyDescent="0.2">
      <c r="A40" s="785" t="s">
        <v>121</v>
      </c>
      <c r="B40" s="786" t="s">
        <v>72</v>
      </c>
      <c r="C40" s="492"/>
      <c r="D40" s="494">
        <v>0.05</v>
      </c>
      <c r="E40" s="495">
        <f>C40/10000*D40</f>
        <v>0</v>
      </c>
      <c r="F40" s="496"/>
    </row>
    <row r="41" spans="1:6" s="733" customFormat="1" ht="25.5" x14ac:dyDescent="0.2">
      <c r="A41" s="787" t="s">
        <v>122</v>
      </c>
      <c r="B41" s="786" t="s">
        <v>72</v>
      </c>
      <c r="C41" s="492"/>
      <c r="D41" s="105">
        <v>0.05</v>
      </c>
      <c r="E41" s="488">
        <f>IF(SUM(E25:E40,E23)&lt;0.8,0,IF((C41*D41/10000)&gt;0.4,0.4,C41*D41/10000))</f>
        <v>0</v>
      </c>
      <c r="F41" s="73"/>
    </row>
    <row r="42" spans="1:6" s="235" customFormat="1" x14ac:dyDescent="0.2">
      <c r="A42" s="1004" t="s">
        <v>123</v>
      </c>
      <c r="B42" s="1005"/>
      <c r="C42" s="1005"/>
      <c r="D42" s="489"/>
      <c r="E42" s="179">
        <v>0</v>
      </c>
      <c r="F42" s="6"/>
    </row>
    <row r="43" spans="1:6" s="235" customFormat="1" x14ac:dyDescent="0.2">
      <c r="A43" s="1006" t="s">
        <v>124</v>
      </c>
      <c r="B43" s="1007"/>
      <c r="C43" s="1007"/>
      <c r="D43" s="490"/>
      <c r="E43" s="491">
        <v>0</v>
      </c>
      <c r="F43" s="6"/>
    </row>
    <row r="44" spans="1:6" s="235" customFormat="1" x14ac:dyDescent="0.2">
      <c r="A44" s="1008"/>
      <c r="B44" s="956"/>
      <c r="C44" s="956"/>
      <c r="D44" s="956"/>
      <c r="E44" s="956"/>
      <c r="F44" s="6"/>
    </row>
    <row r="45" spans="1:6" s="235" customFormat="1" x14ac:dyDescent="0.2">
      <c r="A45" s="79" t="s">
        <v>74</v>
      </c>
      <c r="B45" s="1010" t="s">
        <v>75</v>
      </c>
      <c r="C45" s="1010"/>
      <c r="D45" s="1009">
        <v>0</v>
      </c>
      <c r="E45" s="1009"/>
      <c r="F45" s="6"/>
    </row>
    <row r="46" spans="1:6" s="235" customFormat="1" x14ac:dyDescent="0.2">
      <c r="A46" s="958"/>
      <c r="B46" s="961" t="s">
        <v>76</v>
      </c>
      <c r="C46" s="961"/>
      <c r="D46" s="962">
        <v>0</v>
      </c>
      <c r="E46" s="962"/>
      <c r="F46" s="6"/>
    </row>
    <row r="47" spans="1:6" s="235" customFormat="1" x14ac:dyDescent="0.2">
      <c r="A47" s="959"/>
      <c r="B47" s="963" t="s">
        <v>77</v>
      </c>
      <c r="C47" s="963"/>
      <c r="D47" s="964" t="s">
        <v>125</v>
      </c>
      <c r="E47" s="964"/>
      <c r="F47" s="6"/>
    </row>
    <row r="48" spans="1:6" s="235" customFormat="1" x14ac:dyDescent="0.2">
      <c r="A48" s="959"/>
      <c r="B48" s="963" t="s">
        <v>78</v>
      </c>
      <c r="C48" s="963"/>
      <c r="D48" s="964" t="s">
        <v>125</v>
      </c>
      <c r="E48" s="964"/>
      <c r="F48" s="6"/>
    </row>
    <row r="49" spans="1:8" s="235" customFormat="1" x14ac:dyDescent="0.2">
      <c r="A49" s="959"/>
      <c r="B49" s="963" t="s">
        <v>79</v>
      </c>
      <c r="C49" s="963"/>
      <c r="D49" s="964" t="s">
        <v>125</v>
      </c>
      <c r="E49" s="964"/>
      <c r="F49" s="6"/>
    </row>
    <row r="50" spans="1:8" s="235" customFormat="1" x14ac:dyDescent="0.2">
      <c r="A50" s="959"/>
      <c r="B50" s="963" t="s">
        <v>80</v>
      </c>
      <c r="C50" s="963"/>
      <c r="D50" s="964" t="s">
        <v>125</v>
      </c>
      <c r="E50" s="964"/>
      <c r="F50" s="6"/>
    </row>
    <row r="51" spans="1:8" s="235" customFormat="1" x14ac:dyDescent="0.2">
      <c r="A51" s="959"/>
      <c r="B51" s="963" t="s">
        <v>81</v>
      </c>
      <c r="C51" s="963"/>
      <c r="D51" s="964" t="s">
        <v>125</v>
      </c>
      <c r="E51" s="964"/>
      <c r="F51" s="6"/>
    </row>
    <row r="52" spans="1:8" s="235" customFormat="1" x14ac:dyDescent="0.2">
      <c r="A52" s="960"/>
      <c r="B52" s="965" t="s">
        <v>82</v>
      </c>
      <c r="C52" s="965"/>
      <c r="D52" s="966" t="s">
        <v>125</v>
      </c>
      <c r="E52" s="966"/>
      <c r="F52" s="6"/>
    </row>
    <row r="53" spans="1:8" s="235" customFormat="1" ht="12.75" customHeight="1" x14ac:dyDescent="0.2">
      <c r="A53" s="956"/>
      <c r="B53" s="957"/>
      <c r="C53" s="957"/>
      <c r="D53" s="957"/>
      <c r="E53" s="957"/>
      <c r="F53" s="6"/>
    </row>
    <row r="54" spans="1:8" s="235" customFormat="1" ht="12.75" customHeight="1" x14ac:dyDescent="0.2">
      <c r="A54" s="999" t="s">
        <v>83</v>
      </c>
      <c r="B54" s="1000"/>
      <c r="C54" s="1000"/>
      <c r="D54" s="1000"/>
      <c r="E54" s="1001"/>
      <c r="F54" s="6"/>
    </row>
    <row r="55" spans="1:8" s="235" customFormat="1" ht="12.75" customHeight="1" x14ac:dyDescent="0.2">
      <c r="A55" s="981"/>
      <c r="B55" s="982"/>
      <c r="C55" s="982"/>
      <c r="D55" s="982"/>
      <c r="E55" s="983"/>
      <c r="F55" s="6"/>
    </row>
    <row r="56" spans="1:8" s="235" customFormat="1" ht="12.75" customHeight="1" x14ac:dyDescent="0.2">
      <c r="A56" s="981"/>
      <c r="B56" s="982"/>
      <c r="C56" s="982"/>
      <c r="D56" s="982"/>
      <c r="E56" s="983"/>
      <c r="F56" s="6"/>
    </row>
    <row r="57" spans="1:8" s="235" customFormat="1" ht="12.75" customHeight="1" x14ac:dyDescent="0.2">
      <c r="A57" s="984"/>
      <c r="B57" s="985"/>
      <c r="C57" s="985"/>
      <c r="D57" s="985"/>
      <c r="E57" s="986"/>
      <c r="F57" s="6"/>
    </row>
    <row r="58" spans="1:8" x14ac:dyDescent="0.2">
      <c r="A58" s="12"/>
      <c r="B58" s="12"/>
      <c r="C58" s="51"/>
      <c r="D58" s="12"/>
      <c r="E58" s="12"/>
      <c r="F58" s="6"/>
    </row>
    <row r="59" spans="1:8" x14ac:dyDescent="0.2">
      <c r="A59" s="6"/>
      <c r="B59" s="735"/>
      <c r="C59" s="736"/>
      <c r="D59" s="6"/>
      <c r="E59" s="6"/>
    </row>
    <row r="60" spans="1:8" x14ac:dyDescent="0.2">
      <c r="A60" s="6"/>
      <c r="B60" s="735"/>
      <c r="C60" s="736"/>
      <c r="D60" s="6"/>
      <c r="E60" s="6"/>
    </row>
    <row r="61" spans="1:8" x14ac:dyDescent="0.2">
      <c r="A61" s="6"/>
      <c r="B61" s="14"/>
      <c r="C61" s="52"/>
      <c r="D61" s="6"/>
      <c r="E61" s="6"/>
      <c r="F61" s="6"/>
    </row>
    <row r="62" spans="1:8" x14ac:dyDescent="0.2">
      <c r="A62" s="6"/>
      <c r="B62" s="15"/>
      <c r="C62" s="53"/>
      <c r="D62" s="6"/>
      <c r="E62" s="6"/>
      <c r="F62" s="6"/>
      <c r="G62" s="6"/>
      <c r="H62" s="6"/>
    </row>
    <row r="63" spans="1:8" x14ac:dyDescent="0.2">
      <c r="A63" s="6"/>
      <c r="B63" s="6"/>
      <c r="C63" s="53"/>
      <c r="D63" s="6"/>
      <c r="E63" s="6"/>
      <c r="F63" s="6"/>
      <c r="G63" s="6"/>
      <c r="H63" s="6"/>
    </row>
    <row r="64" spans="1:8" x14ac:dyDescent="0.2">
      <c r="A64" s="6"/>
      <c r="B64" s="6"/>
      <c r="C64" s="53"/>
      <c r="D64" s="6"/>
      <c r="E64" s="6"/>
      <c r="F64" s="6"/>
      <c r="G64" s="6"/>
      <c r="H64" s="6"/>
    </row>
    <row r="65" spans="1:8" x14ac:dyDescent="0.2">
      <c r="A65" s="6"/>
      <c r="B65" s="16"/>
      <c r="C65" s="53"/>
      <c r="D65" s="6"/>
      <c r="E65" s="6"/>
      <c r="F65" s="6"/>
      <c r="G65" s="6"/>
      <c r="H65" s="6"/>
    </row>
    <row r="66" spans="1:8" x14ac:dyDescent="0.2">
      <c r="A66" s="6"/>
      <c r="B66" s="16"/>
      <c r="C66" s="53"/>
      <c r="D66" s="6"/>
      <c r="E66" s="6"/>
      <c r="F66" s="6"/>
      <c r="G66" s="6"/>
      <c r="H66" s="6"/>
    </row>
    <row r="67" spans="1:8" x14ac:dyDescent="0.2">
      <c r="A67" s="6"/>
      <c r="B67" s="6"/>
      <c r="C67" s="53"/>
      <c r="D67" s="6"/>
      <c r="E67" s="6"/>
      <c r="F67" s="6"/>
      <c r="G67" s="6"/>
      <c r="H67" s="6"/>
    </row>
  </sheetData>
  <sheetProtection algorithmName="SHA-512" hashValue="0+N5sI7l2KPN4RJ5DqSJqyQlsJUNYdgeXMSM/qv/0B6hvFFj/wPpAQB6qkRsnXIiEmiUN1fXpynnFMgYiC6UuA==" saltValue="pceSbWsDmkMBRQmGuzbF3A==" spinCount="100000" sheet="1" objects="1" scenarios="1"/>
  <customSheetViews>
    <customSheetView guid="{DF1916F3-5A65-402D-BE4C-0D137DE653D6}" showGridLines="0" showRowCol="0" zeroValues="0">
      <selection sqref="A1:D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Standardarbeitskraft&amp;R&amp;8Form. 31</oddFooter>
      </headerFooter>
    </customSheetView>
  </customSheetViews>
  <mergeCells count="36">
    <mergeCell ref="A55:E57"/>
    <mergeCell ref="A8:F8"/>
    <mergeCell ref="B4:E4"/>
    <mergeCell ref="E9:E10"/>
    <mergeCell ref="A9:A10"/>
    <mergeCell ref="B9:B10"/>
    <mergeCell ref="C9:C10"/>
    <mergeCell ref="D49:E49"/>
    <mergeCell ref="A54:E54"/>
    <mergeCell ref="D9:D10"/>
    <mergeCell ref="A42:C42"/>
    <mergeCell ref="A43:C43"/>
    <mergeCell ref="A44:E44"/>
    <mergeCell ref="D45:E45"/>
    <mergeCell ref="B45:C45"/>
    <mergeCell ref="B50:C50"/>
    <mergeCell ref="A1:D1"/>
    <mergeCell ref="B5:E5"/>
    <mergeCell ref="B6:E6"/>
    <mergeCell ref="B7:E7"/>
    <mergeCell ref="A2:F2"/>
    <mergeCell ref="B3:E3"/>
    <mergeCell ref="A53:E53"/>
    <mergeCell ref="A46:A52"/>
    <mergeCell ref="B46:C46"/>
    <mergeCell ref="D46:E46"/>
    <mergeCell ref="B47:C47"/>
    <mergeCell ref="D47:E47"/>
    <mergeCell ref="B48:C48"/>
    <mergeCell ref="D48:E48"/>
    <mergeCell ref="B49:C49"/>
    <mergeCell ref="D50:E50"/>
    <mergeCell ref="B51:C51"/>
    <mergeCell ref="D51:E51"/>
    <mergeCell ref="B52:C52"/>
    <mergeCell ref="D52:E52"/>
  </mergeCells>
  <phoneticPr fontId="0" type="noConversion"/>
  <pageMargins left="0.78740157480314965" right="0.59055118110236227" top="0.78740157480314965" bottom="0.59055118110236227" header="0.31496062992125984" footer="0.31496062992125984"/>
  <pageSetup paperSize="9" scale="90" orientation="portrait" r:id="rId2"/>
  <headerFooter alignWithMargins="0">
    <oddHeader>&amp;L&amp;8Ufficio federale dell'agricoltura&amp;R&amp;8Aiuto al calcolo; stato 1.2023</oddHeader>
    <oddFooter>&amp;L&amp;8&amp;D; &amp;T&amp;R&amp;8&amp;A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57"/>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3" width="11.7109375" style="17" customWidth="1"/>
    <col min="4" max="4" width="22.5703125" style="17" customWidth="1"/>
    <col min="5" max="5" width="10.42578125" style="17" customWidth="1"/>
    <col min="6" max="6" width="10.42578125" style="54" customWidth="1"/>
    <col min="7" max="7" width="11.5703125" style="17" bestFit="1" customWidth="1"/>
    <col min="8" max="8" width="11.42578125" style="17" customWidth="1"/>
    <col min="9" max="9" width="7.140625" style="17" customWidth="1"/>
    <col min="10" max="10" width="4.42578125" style="17" customWidth="1"/>
    <col min="11" max="11" width="40.140625" style="17" customWidth="1"/>
    <col min="12" max="12" width="12.85546875" style="17" bestFit="1" customWidth="1"/>
    <col min="13" max="13" width="11.7109375" style="17" customWidth="1"/>
    <col min="14" max="14" width="15.5703125" style="17" customWidth="1"/>
    <col min="15" max="16384" width="11.42578125" style="17"/>
  </cols>
  <sheetData>
    <row r="1" spans="1:13" ht="25.15" customHeight="1" x14ac:dyDescent="0.2">
      <c r="A1" s="770" t="s">
        <v>85</v>
      </c>
      <c r="B1" s="714"/>
      <c r="C1" s="714"/>
      <c r="D1" s="67"/>
      <c r="E1" s="693"/>
      <c r="F1" s="693"/>
      <c r="G1" s="693"/>
      <c r="H1" s="729"/>
      <c r="I1" s="12"/>
      <c r="J1" s="12"/>
      <c r="K1" s="12"/>
      <c r="L1" s="12"/>
      <c r="M1" s="12"/>
    </row>
    <row r="2" spans="1:13" s="12" customFormat="1" ht="12.75" customHeight="1" x14ac:dyDescent="0.2">
      <c r="A2" s="4"/>
      <c r="B2" s="4"/>
      <c r="C2" s="4"/>
      <c r="D2" s="162"/>
      <c r="E2" s="690"/>
      <c r="F2" s="690"/>
      <c r="G2" s="690"/>
      <c r="H2" s="690"/>
    </row>
    <row r="3" spans="1:13" s="12" customFormat="1" ht="12.75" customHeight="1" x14ac:dyDescent="0.2">
      <c r="A3" s="1036" t="str">
        <f>USM!A3</f>
        <v>Richiedente</v>
      </c>
      <c r="B3" s="1036"/>
      <c r="C3" s="1032">
        <f>USM!B3</f>
        <v>0</v>
      </c>
      <c r="D3" s="1032"/>
      <c r="E3" s="1032"/>
      <c r="F3" s="1032"/>
      <c r="G3" s="1032"/>
      <c r="H3" s="1032"/>
    </row>
    <row r="4" spans="1:13" s="12" customFormat="1" ht="12.75" customHeight="1" x14ac:dyDescent="0.2">
      <c r="A4" s="1037" t="str">
        <f>USM!A4</f>
        <v>Comune politico</v>
      </c>
      <c r="B4" s="1037"/>
      <c r="C4" s="1033">
        <f>USM!B4</f>
        <v>0</v>
      </c>
      <c r="D4" s="1033"/>
      <c r="E4" s="1033"/>
      <c r="F4" s="1033"/>
      <c r="G4" s="1033"/>
      <c r="H4" s="1033"/>
    </row>
    <row r="5" spans="1:13" s="12" customFormat="1" ht="12.75" customHeight="1" x14ac:dyDescent="0.2">
      <c r="A5" s="1029" t="str">
        <f>USM!A5</f>
        <v>N. Cantone</v>
      </c>
      <c r="B5" s="1029"/>
      <c r="C5" s="1034">
        <f>USM!B5</f>
        <v>0</v>
      </c>
      <c r="D5" s="1034"/>
      <c r="E5" s="1034"/>
      <c r="F5" s="1034"/>
      <c r="G5" s="1034"/>
      <c r="H5" s="1034"/>
    </row>
    <row r="6" spans="1:13" s="12" customFormat="1" ht="12.75" customHeight="1" x14ac:dyDescent="0.2">
      <c r="A6" s="961" t="str">
        <f>USM!A6</f>
        <v>N. CSF eMapis</v>
      </c>
      <c r="B6" s="961"/>
      <c r="C6" s="1035">
        <f>USM!B6</f>
        <v>0</v>
      </c>
      <c r="D6" s="1035"/>
      <c r="E6" s="1035"/>
      <c r="F6" s="1035"/>
      <c r="G6" s="1035"/>
      <c r="H6" s="1035"/>
    </row>
    <row r="7" spans="1:13" s="12" customFormat="1" ht="12.75" customHeight="1" x14ac:dyDescent="0.2">
      <c r="A7" s="1029" t="s">
        <v>5</v>
      </c>
      <c r="B7" s="1029"/>
      <c r="C7" s="1034">
        <f>USM!B7</f>
        <v>0</v>
      </c>
      <c r="D7" s="1034"/>
      <c r="E7" s="1034"/>
      <c r="F7" s="1034"/>
      <c r="G7" s="1034"/>
      <c r="H7" s="1034"/>
    </row>
    <row r="8" spans="1:13" s="12" customFormat="1" ht="12.75" customHeight="1" x14ac:dyDescent="0.2">
      <c r="A8" s="963" t="s">
        <v>126</v>
      </c>
      <c r="B8" s="1029"/>
      <c r="C8" s="1030"/>
      <c r="D8" s="1031"/>
      <c r="E8" s="623"/>
      <c r="F8" s="623"/>
      <c r="G8" s="623"/>
      <c r="H8" s="624"/>
    </row>
    <row r="9" spans="1:13" s="12" customFormat="1" ht="12.75" customHeight="1" x14ac:dyDescent="0.2">
      <c r="A9" s="730"/>
      <c r="B9" s="730"/>
      <c r="C9" s="730"/>
      <c r="D9" s="68"/>
      <c r="E9" s="730"/>
      <c r="F9" s="730"/>
      <c r="G9" s="730"/>
      <c r="H9" s="730"/>
    </row>
    <row r="10" spans="1:13" s="12" customFormat="1" ht="12.75" customHeight="1" x14ac:dyDescent="0.2">
      <c r="A10" s="993" t="s">
        <v>92</v>
      </c>
      <c r="B10" s="1012"/>
      <c r="C10" s="1012"/>
      <c r="D10" s="1013"/>
      <c r="E10" s="995" t="s">
        <v>62</v>
      </c>
      <c r="F10" s="997" t="s">
        <v>63</v>
      </c>
      <c r="G10" s="1021" t="s">
        <v>64</v>
      </c>
      <c r="H10" s="991" t="s">
        <v>65</v>
      </c>
      <c r="K10" s="6"/>
      <c r="L10" s="6"/>
      <c r="M10" s="6"/>
    </row>
    <row r="11" spans="1:13" s="12" customFormat="1" ht="12.75" customHeight="1" x14ac:dyDescent="0.2">
      <c r="A11" s="1014"/>
      <c r="B11" s="1015"/>
      <c r="C11" s="1015"/>
      <c r="D11" s="1016"/>
      <c r="E11" s="1017"/>
      <c r="F11" s="1017"/>
      <c r="G11" s="1022"/>
      <c r="H11" s="1023"/>
      <c r="K11" s="35"/>
      <c r="L11" s="35"/>
    </row>
    <row r="12" spans="1:13" s="12" customFormat="1" x14ac:dyDescent="0.2">
      <c r="A12" s="803" t="str">
        <f>USM!A11</f>
        <v>a 1. SAU senza colture speciali</v>
      </c>
      <c r="B12" s="788"/>
      <c r="C12" s="788"/>
      <c r="D12" s="789"/>
      <c r="E12" s="808" t="str">
        <f>USM!B11</f>
        <v>ha</v>
      </c>
      <c r="F12" s="462"/>
      <c r="G12" s="81">
        <f>USM!D11</f>
        <v>2.1999999999999999E-2</v>
      </c>
      <c r="H12" s="81">
        <f>F12*G12</f>
        <v>0</v>
      </c>
      <c r="J12" s="84"/>
      <c r="K12" s="371"/>
      <c r="L12" s="503"/>
    </row>
    <row r="13" spans="1:13" s="12" customFormat="1" x14ac:dyDescent="0.2">
      <c r="A13" s="794" t="str">
        <f>USM!A12</f>
        <v>a 2. Colture speciali (senza a 3.)</v>
      </c>
      <c r="B13" s="791"/>
      <c r="C13" s="791"/>
      <c r="D13" s="792"/>
      <c r="E13" s="810" t="str">
        <f>USM!B12</f>
        <v>ha</v>
      </c>
      <c r="F13" s="462"/>
      <c r="G13" s="74">
        <f>USM!D12</f>
        <v>0.32300000000000001</v>
      </c>
      <c r="H13" s="74">
        <f t="shared" ref="H13:H18" si="0">F13*G13</f>
        <v>0</v>
      </c>
      <c r="J13" s="84"/>
      <c r="K13" s="371"/>
      <c r="L13" s="503"/>
    </row>
    <row r="14" spans="1:13" s="12" customFormat="1" x14ac:dyDescent="0.2">
      <c r="A14" s="804" t="str">
        <f>USM!A13</f>
        <v>a 3. Vigneti in zone in forte pendenza e terrazzate, &gt;30% decl.</v>
      </c>
      <c r="B14" s="791"/>
      <c r="C14" s="791"/>
      <c r="D14" s="792"/>
      <c r="E14" s="811" t="str">
        <f>USM!B13</f>
        <v>ha</v>
      </c>
      <c r="F14" s="462"/>
      <c r="G14" s="74">
        <f>USM!D13</f>
        <v>1.077</v>
      </c>
      <c r="H14" s="74">
        <f t="shared" si="0"/>
        <v>0</v>
      </c>
      <c r="J14" s="84"/>
      <c r="K14" s="371"/>
      <c r="L14" s="503"/>
    </row>
    <row r="15" spans="1:13" s="12" customFormat="1" x14ac:dyDescent="0.2">
      <c r="A15" s="794" t="str">
        <f>USM!A14</f>
        <v>b 1. Vacche, pecore e capre da latte</v>
      </c>
      <c r="B15" s="791"/>
      <c r="C15" s="791"/>
      <c r="D15" s="792"/>
      <c r="E15" s="812" t="str">
        <f>USM!B14</f>
        <v>UBG</v>
      </c>
      <c r="F15" s="462"/>
      <c r="G15" s="74">
        <f>USM!D14</f>
        <v>3.9E-2</v>
      </c>
      <c r="H15" s="74">
        <f t="shared" si="0"/>
        <v>0</v>
      </c>
      <c r="J15" s="84"/>
      <c r="K15" s="371"/>
      <c r="L15" s="503"/>
    </row>
    <row r="16" spans="1:13" s="12" customFormat="1" x14ac:dyDescent="0.2">
      <c r="A16" s="794" t="str">
        <f>USM!A15</f>
        <v>b 2. Suini da ingrasso, rimonte &gt;25 kg</v>
      </c>
      <c r="B16" s="791"/>
      <c r="C16" s="791"/>
      <c r="D16" s="792"/>
      <c r="E16" s="810" t="str">
        <f>USM!B15</f>
        <v>UBG</v>
      </c>
      <c r="F16" s="462"/>
      <c r="G16" s="74">
        <f>USM!D15</f>
        <v>8.0000000000000002E-3</v>
      </c>
      <c r="H16" s="74">
        <f t="shared" si="0"/>
        <v>0</v>
      </c>
      <c r="J16" s="84"/>
      <c r="K16" s="371"/>
      <c r="L16" s="503"/>
    </row>
    <row r="17" spans="1:12" s="12" customFormat="1" x14ac:dyDescent="0.2">
      <c r="A17" s="794" t="str">
        <f>USM!A16</f>
        <v>b 3. Suini da allevamento</v>
      </c>
      <c r="B17" s="791"/>
      <c r="C17" s="791"/>
      <c r="D17" s="792"/>
      <c r="E17" s="811" t="str">
        <f>USM!B16</f>
        <v>UBG</v>
      </c>
      <c r="F17" s="462"/>
      <c r="G17" s="74">
        <f>USM!D16</f>
        <v>3.2000000000000001E-2</v>
      </c>
      <c r="H17" s="74">
        <f t="shared" si="0"/>
        <v>0</v>
      </c>
      <c r="J17" s="84"/>
      <c r="K17" s="371"/>
      <c r="L17" s="503"/>
    </row>
    <row r="18" spans="1:12" s="12" customFormat="1" x14ac:dyDescent="0.2">
      <c r="A18" s="794" t="str">
        <f>USM!A17</f>
        <v>b 4. Altri animali da reddito</v>
      </c>
      <c r="B18" s="791"/>
      <c r="C18" s="791"/>
      <c r="D18" s="792"/>
      <c r="E18" s="812" t="str">
        <f>USM!B17</f>
        <v>UBG</v>
      </c>
      <c r="F18" s="462"/>
      <c r="G18" s="74">
        <f>USM!D17</f>
        <v>2.7E-2</v>
      </c>
      <c r="H18" s="74">
        <f t="shared" si="0"/>
        <v>0</v>
      </c>
      <c r="J18" s="84"/>
      <c r="K18" s="371"/>
      <c r="L18" s="503"/>
    </row>
    <row r="19" spans="1:12" s="12" customFormat="1" x14ac:dyDescent="0.2">
      <c r="A19" s="794" t="str">
        <f>USM!A18</f>
        <v>c 1. Zone declive con declività del 18–35 %</v>
      </c>
      <c r="B19" s="791"/>
      <c r="C19" s="791"/>
      <c r="D19" s="793"/>
      <c r="E19" s="812" t="str">
        <f>USM!B18</f>
        <v>ha</v>
      </c>
      <c r="F19" s="462"/>
      <c r="G19" s="74">
        <f>USM!D18</f>
        <v>1.6E-2</v>
      </c>
      <c r="H19" s="74">
        <f>F19*G19</f>
        <v>0</v>
      </c>
      <c r="J19" s="84"/>
      <c r="K19" s="371"/>
      <c r="L19" s="503"/>
    </row>
    <row r="20" spans="1:12" s="12" customFormat="1" x14ac:dyDescent="0.2">
      <c r="A20" s="804" t="str">
        <f>USM!A19</f>
        <v>c 2. Zone declive con declività superiore al 35 fino al 50 %</v>
      </c>
      <c r="B20" s="794"/>
      <c r="C20" s="794"/>
      <c r="D20" s="794"/>
      <c r="E20" s="812" t="str">
        <f>USM!B19</f>
        <v>ha</v>
      </c>
      <c r="F20" s="462"/>
      <c r="G20" s="74">
        <f>USM!D19</f>
        <v>2.7E-2</v>
      </c>
      <c r="H20" s="74">
        <f>F20*G20</f>
        <v>0</v>
      </c>
      <c r="J20" s="84"/>
      <c r="K20" s="371"/>
      <c r="L20" s="503"/>
    </row>
    <row r="21" spans="1:12" s="12" customFormat="1" x14ac:dyDescent="0.2">
      <c r="A21" s="794" t="str">
        <f>USM!A20</f>
        <v>c 3. Zone declive con declività superiore al 50 %</v>
      </c>
      <c r="B21" s="791"/>
      <c r="C21" s="791"/>
      <c r="D21" s="793"/>
      <c r="E21" s="812" t="str">
        <f>USM!B20</f>
        <v>ha</v>
      </c>
      <c r="F21" s="462"/>
      <c r="G21" s="74">
        <f>USM!D20</f>
        <v>5.3999999999999999E-2</v>
      </c>
      <c r="H21" s="74">
        <f>F21*G21</f>
        <v>0</v>
      </c>
      <c r="J21" s="84"/>
      <c r="K21" s="371"/>
      <c r="L21" s="503"/>
    </row>
    <row r="22" spans="1:12" s="12" customFormat="1" x14ac:dyDescent="0.2">
      <c r="A22" s="794" t="str">
        <f>USM!A21</f>
        <v>c 4. Produzione vegetale (agricoltura biologica)</v>
      </c>
      <c r="B22" s="791"/>
      <c r="C22" s="791"/>
      <c r="D22" s="792"/>
      <c r="E22" s="812" t="str">
        <f>USM!B21</f>
        <v>sì = 1</v>
      </c>
      <c r="F22" s="465"/>
      <c r="G22" s="74" t="str">
        <f>USM!D21</f>
        <v>Supplemento</v>
      </c>
      <c r="H22" s="74" t="str">
        <f>IF(F22=1,SUM(H12:H14)*0.2,"")</f>
        <v/>
      </c>
      <c r="J22" s="84"/>
      <c r="K22" s="371"/>
      <c r="L22" s="503"/>
    </row>
    <row r="23" spans="1:12" s="12" customFormat="1" x14ac:dyDescent="0.2">
      <c r="A23" s="807" t="str">
        <f>USM!A22</f>
        <v>c 5. Alberi da frutto ad alto fusto nei campi</v>
      </c>
      <c r="B23" s="795"/>
      <c r="C23" s="795"/>
      <c r="D23" s="796"/>
      <c r="E23" s="809" t="str">
        <f>USM!B22</f>
        <v>pezzo</v>
      </c>
      <c r="F23" s="466"/>
      <c r="G23" s="75">
        <f>USM!D22</f>
        <v>1E-3</v>
      </c>
      <c r="H23" s="75">
        <f>F23*G23</f>
        <v>0</v>
      </c>
      <c r="J23" s="84"/>
      <c r="K23" s="371"/>
      <c r="L23" s="503"/>
    </row>
    <row r="24" spans="1:12" s="12" customFormat="1" x14ac:dyDescent="0.2">
      <c r="A24" s="797" t="str">
        <f>USM!A23</f>
        <v>Totale intermedio 1</v>
      </c>
      <c r="B24" s="798"/>
      <c r="C24" s="798"/>
      <c r="D24" s="799"/>
      <c r="E24" s="790">
        <f>USM!B23</f>
        <v>0</v>
      </c>
      <c r="F24" s="625"/>
      <c r="G24" s="463"/>
      <c r="H24" s="78">
        <f>SUM(H12:H23)</f>
        <v>0</v>
      </c>
      <c r="J24" s="84"/>
      <c r="K24" s="371"/>
      <c r="L24" s="503"/>
    </row>
    <row r="25" spans="1:12" s="12" customFormat="1" x14ac:dyDescent="0.2">
      <c r="A25" s="806" t="str">
        <f>USM!A24</f>
        <v>A Supplementi per rami aziendali speciali</v>
      </c>
      <c r="B25" s="800"/>
      <c r="C25" s="800"/>
      <c r="D25" s="789"/>
      <c r="E25" s="808">
        <f>USM!B24</f>
        <v>0</v>
      </c>
      <c r="F25" s="626"/>
      <c r="G25" s="96"/>
      <c r="H25" s="76"/>
      <c r="J25" s="84"/>
      <c r="K25" s="371"/>
      <c r="L25" s="503"/>
    </row>
    <row r="26" spans="1:12" s="12" customFormat="1" x14ac:dyDescent="0.2">
      <c r="A26" s="794" t="str">
        <f>USM!A25</f>
        <v>Patate</v>
      </c>
      <c r="B26" s="788"/>
      <c r="C26" s="788"/>
      <c r="D26" s="789"/>
      <c r="E26" s="810" t="str">
        <f>USM!B25</f>
        <v>ha</v>
      </c>
      <c r="F26" s="462"/>
      <c r="G26" s="74">
        <f>USM!D25</f>
        <v>3.9E-2</v>
      </c>
      <c r="H26" s="74">
        <f t="shared" ref="H26:H31" si="1">F26*G26</f>
        <v>0</v>
      </c>
      <c r="J26" s="84"/>
      <c r="K26" s="371"/>
      <c r="L26" s="503"/>
    </row>
    <row r="27" spans="1:12" s="12" customFormat="1" x14ac:dyDescent="0.2">
      <c r="A27" s="805" t="str">
        <f>USM!A26</f>
        <v>Bacche, piante medicinali e aromatiche</v>
      </c>
      <c r="B27" s="791"/>
      <c r="C27" s="791"/>
      <c r="D27" s="792"/>
      <c r="E27" s="811" t="str">
        <f>USM!B26</f>
        <v>ha</v>
      </c>
      <c r="F27" s="462"/>
      <c r="G27" s="74">
        <f>USM!D26</f>
        <v>0.32300000000000001</v>
      </c>
      <c r="H27" s="74">
        <f t="shared" si="1"/>
        <v>0</v>
      </c>
      <c r="J27" s="84"/>
      <c r="K27" s="371"/>
      <c r="L27" s="503"/>
    </row>
    <row r="28" spans="1:12" s="12" customFormat="1" x14ac:dyDescent="0.2">
      <c r="A28" s="804" t="str">
        <f>USM!A27</f>
        <v>Viticoltura con torchiatura in proprio</v>
      </c>
      <c r="B28" s="791"/>
      <c r="C28" s="791"/>
      <c r="D28" s="792"/>
      <c r="E28" s="812" t="str">
        <f>USM!B27</f>
        <v>ha</v>
      </c>
      <c r="F28" s="462"/>
      <c r="G28" s="74">
        <f>USM!D27</f>
        <v>0.32300000000000001</v>
      </c>
      <c r="H28" s="74">
        <f t="shared" si="1"/>
        <v>0</v>
      </c>
      <c r="J28" s="84"/>
      <c r="K28" s="371"/>
      <c r="L28" s="503"/>
    </row>
    <row r="29" spans="1:12" s="12" customFormat="1" x14ac:dyDescent="0.2">
      <c r="A29" s="794" t="str">
        <f>USM!A28</f>
        <v>Colture di alberi di Natale</v>
      </c>
      <c r="B29" s="791"/>
      <c r="C29" s="791"/>
      <c r="D29" s="792"/>
      <c r="E29" s="812" t="str">
        <f>USM!B28</f>
        <v>ha</v>
      </c>
      <c r="F29" s="462"/>
      <c r="G29" s="74">
        <f>USM!D28</f>
        <v>4.8000000000000001E-2</v>
      </c>
      <c r="H29" s="74">
        <f t="shared" si="1"/>
        <v>0</v>
      </c>
      <c r="J29" s="84"/>
      <c r="K29" s="371"/>
      <c r="L29" s="503"/>
    </row>
    <row r="30" spans="1:12" s="12" customFormat="1" x14ac:dyDescent="0.2">
      <c r="A30" s="794" t="str">
        <f>USM!A29</f>
        <v>Serre con fondamenta fisse</v>
      </c>
      <c r="B30" s="791"/>
      <c r="C30" s="791"/>
      <c r="D30" s="792"/>
      <c r="E30" s="810" t="str">
        <f>USM!B29</f>
        <v>ha</v>
      </c>
      <c r="F30" s="462"/>
      <c r="G30" s="74">
        <f>USM!D29</f>
        <v>0.96899999999999997</v>
      </c>
      <c r="H30" s="74">
        <f t="shared" si="1"/>
        <v>0</v>
      </c>
      <c r="K30" s="278"/>
      <c r="L30" s="6"/>
    </row>
    <row r="31" spans="1:12" s="12" customFormat="1" x14ac:dyDescent="0.2">
      <c r="A31" s="794" t="str">
        <f>USM!A30</f>
        <v>Tunnel o letti di forzatura</v>
      </c>
      <c r="B31" s="791"/>
      <c r="C31" s="791"/>
      <c r="D31" s="792"/>
      <c r="E31" s="811" t="str">
        <f>USM!B30</f>
        <v>ha</v>
      </c>
      <c r="F31" s="462"/>
      <c r="G31" s="74">
        <f>USM!D30</f>
        <v>0.48499999999999999</v>
      </c>
      <c r="H31" s="74">
        <f t="shared" si="1"/>
        <v>0</v>
      </c>
    </row>
    <row r="32" spans="1:12" s="12" customFormat="1" x14ac:dyDescent="0.2">
      <c r="A32" s="794" t="str">
        <f>USM!A31</f>
        <v>B Altri coefficienti per rami aziendali speciali</v>
      </c>
      <c r="B32" s="791"/>
      <c r="C32" s="791"/>
      <c r="D32" s="792"/>
      <c r="E32" s="810">
        <f>USM!B31</f>
        <v>0</v>
      </c>
      <c r="F32" s="77"/>
      <c r="G32" s="74"/>
      <c r="H32" s="74"/>
    </row>
    <row r="33" spans="1:14" s="12" customFormat="1" x14ac:dyDescent="0.2">
      <c r="A33" s="794" t="str">
        <f>USM!A32</f>
        <v>Bosco di proprietà dell'azienda</v>
      </c>
      <c r="B33" s="791"/>
      <c r="C33" s="791"/>
      <c r="D33" s="792"/>
      <c r="E33" s="811" t="str">
        <f>USM!B32</f>
        <v>ha</v>
      </c>
      <c r="F33" s="462"/>
      <c r="G33" s="74">
        <f>USM!D32</f>
        <v>1.2999999999999999E-2</v>
      </c>
      <c r="H33" s="106">
        <f t="shared" ref="H33:H40" si="2">F33*G33</f>
        <v>0</v>
      </c>
    </row>
    <row r="34" spans="1:14" s="12" customFormat="1" x14ac:dyDescent="0.2">
      <c r="A34" s="794" t="str">
        <f>USM!A33</f>
        <v>Vacche da latte nell’azienda d’estivazione</v>
      </c>
      <c r="B34" s="791"/>
      <c r="C34" s="791"/>
      <c r="D34" s="792"/>
      <c r="E34" s="812" t="str">
        <f>USM!B33</f>
        <v>CN</v>
      </c>
      <c r="F34" s="462"/>
      <c r="G34" s="74">
        <f>USM!D33</f>
        <v>1.6E-2</v>
      </c>
      <c r="H34" s="106">
        <f t="shared" si="2"/>
        <v>0</v>
      </c>
    </row>
    <row r="35" spans="1:14" s="12" customFormat="1" x14ac:dyDescent="0.2">
      <c r="A35" s="805" t="str">
        <f>USM!A34</f>
        <v>Altri animali da reddito nell'azienda d'estivazione</v>
      </c>
      <c r="B35" s="801"/>
      <c r="C35" s="801"/>
      <c r="D35" s="802"/>
      <c r="E35" s="810" t="str">
        <f>USM!B34</f>
        <v>CN</v>
      </c>
      <c r="F35" s="462"/>
      <c r="G35" s="74">
        <f>USM!D34</f>
        <v>1.0999999999999999E-2</v>
      </c>
      <c r="H35" s="106">
        <f t="shared" si="2"/>
        <v>0</v>
      </c>
      <c r="K35" s="627"/>
    </row>
    <row r="36" spans="1:14" s="12" customFormat="1" x14ac:dyDescent="0.2">
      <c r="A36" s="804" t="str">
        <f>USM!A35</f>
        <v>Produzione di funghi in tunnel o edifici</v>
      </c>
      <c r="B36" s="801"/>
      <c r="C36" s="801"/>
      <c r="D36" s="802"/>
      <c r="E36" s="811" t="str">
        <f>USM!B35</f>
        <v>ara</v>
      </c>
      <c r="F36" s="462"/>
      <c r="G36" s="74">
        <f>USM!D35</f>
        <v>6.5000000000000002E-2</v>
      </c>
      <c r="H36" s="106">
        <f t="shared" si="2"/>
        <v>0</v>
      </c>
      <c r="J36" s="6"/>
      <c r="K36" s="84"/>
      <c r="L36" s="49"/>
    </row>
    <row r="37" spans="1:14" s="12" customFormat="1" x14ac:dyDescent="0.2">
      <c r="A37" s="794" t="str">
        <f>USM!A36</f>
        <v>Produzione di funghi prataioli in edifici</v>
      </c>
      <c r="B37" s="801"/>
      <c r="C37" s="801"/>
      <c r="D37" s="802"/>
      <c r="E37" s="812" t="str">
        <f>USM!B36</f>
        <v>ara</v>
      </c>
      <c r="F37" s="462"/>
      <c r="G37" s="74">
        <f>USM!D36</f>
        <v>0.26900000000000002</v>
      </c>
      <c r="H37" s="106">
        <f t="shared" si="2"/>
        <v>0</v>
      </c>
      <c r="K37" s="1011"/>
      <c r="L37" s="1011"/>
      <c r="M37" s="1011"/>
      <c r="N37" s="1011"/>
    </row>
    <row r="38" spans="1:14" s="12" customFormat="1" x14ac:dyDescent="0.2">
      <c r="A38" s="804" t="str">
        <f>USM!A37</f>
        <v>Produzione di cicoria belga in edifici</v>
      </c>
      <c r="B38" s="801"/>
      <c r="C38" s="801"/>
      <c r="D38" s="802"/>
      <c r="E38" s="812" t="str">
        <f>USM!B37</f>
        <v>ara</v>
      </c>
      <c r="F38" s="462"/>
      <c r="G38" s="74">
        <f>USM!D37</f>
        <v>0.26900000000000002</v>
      </c>
      <c r="H38" s="106">
        <f t="shared" si="2"/>
        <v>0</v>
      </c>
      <c r="K38" s="84"/>
    </row>
    <row r="39" spans="1:14" s="12" customFormat="1" x14ac:dyDescent="0.2">
      <c r="A39" s="794" t="str">
        <f>USM!A38</f>
        <v>Produzione di germogli in edifici</v>
      </c>
      <c r="B39" s="801"/>
      <c r="C39" s="801"/>
      <c r="D39" s="802"/>
      <c r="E39" s="810" t="str">
        <f>USM!B38</f>
        <v>ara</v>
      </c>
      <c r="F39" s="462"/>
      <c r="G39" s="74">
        <f>USM!D38</f>
        <v>1.077</v>
      </c>
      <c r="H39" s="106">
        <f t="shared" si="2"/>
        <v>0</v>
      </c>
      <c r="K39" s="278"/>
    </row>
    <row r="40" spans="1:14" s="12" customFormat="1" ht="25.5" customHeight="1" x14ac:dyDescent="0.2">
      <c r="A40" s="1018" t="str">
        <f>USM!A39</f>
        <v>Ortoflorovivaismo esercitato a titolo professionale: serra con fondamenta fisse o tunnel per piante in recipiente (vaso)</v>
      </c>
      <c r="B40" s="1024"/>
      <c r="C40" s="1024"/>
      <c r="D40" s="1025"/>
      <c r="E40" s="811" t="str">
        <f>USM!B39</f>
        <v>ha</v>
      </c>
      <c r="F40" s="462"/>
      <c r="G40" s="106">
        <f>USM!D39</f>
        <v>2.585</v>
      </c>
      <c r="H40" s="95">
        <f t="shared" si="2"/>
        <v>0</v>
      </c>
    </row>
    <row r="41" spans="1:14" s="726" customFormat="1" ht="25.5" customHeight="1" x14ac:dyDescent="0.2">
      <c r="A41" s="1018" t="str">
        <f>USM!A40</f>
        <v>Lavorazione, stoccaggio e vendita di prodotti agricoli di produzione propria</v>
      </c>
      <c r="B41" s="1019"/>
      <c r="C41" s="1019"/>
      <c r="D41" s="1020"/>
      <c r="E41" s="814" t="str">
        <f>USM!B40</f>
        <v>fr. prest. lorda</v>
      </c>
      <c r="F41" s="492"/>
      <c r="G41" s="74">
        <f>USM!D40</f>
        <v>0.05</v>
      </c>
      <c r="H41" s="493">
        <f>F41/10000*G41</f>
        <v>0</v>
      </c>
    </row>
    <row r="42" spans="1:14" s="12" customFormat="1" ht="24" x14ac:dyDescent="0.2">
      <c r="A42" s="1026" t="str">
        <f>USM!A41</f>
        <v>Attività affini all'agricoltura giusta l'art. 12b OTerm</v>
      </c>
      <c r="B42" s="1027"/>
      <c r="C42" s="1027"/>
      <c r="D42" s="1028"/>
      <c r="E42" s="813" t="str">
        <f>USM!B41</f>
        <v>fr. prest. lorda</v>
      </c>
      <c r="F42" s="492"/>
      <c r="G42" s="106">
        <f>USM!D41</f>
        <v>0.05</v>
      </c>
      <c r="H42" s="95">
        <f>IF(SUM(H26:H41,H24)&lt;0.8,0,IF((F42*G42/10000)&gt;0.4,0.4,F42*G42/10000))</f>
        <v>0</v>
      </c>
      <c r="K42" s="570" t="s">
        <v>285</v>
      </c>
      <c r="L42" s="570" t="s">
        <v>86</v>
      </c>
    </row>
    <row r="43" spans="1:14" s="12" customFormat="1" x14ac:dyDescent="0.2">
      <c r="A43" s="61" t="str">
        <f>USM!A42</f>
        <v>Totale intermedio 2</v>
      </c>
      <c r="B43" s="62"/>
      <c r="C43" s="62"/>
      <c r="D43" s="63"/>
      <c r="E43" s="171"/>
      <c r="F43" s="171"/>
      <c r="G43" s="11"/>
      <c r="H43" s="179">
        <f>SUM(H26:H42)</f>
        <v>0</v>
      </c>
      <c r="K43" s="571" t="s">
        <v>57</v>
      </c>
      <c r="L43" s="580">
        <v>100000</v>
      </c>
      <c r="M43" s="569"/>
    </row>
    <row r="44" spans="1:14" s="12" customFormat="1" x14ac:dyDescent="0.2">
      <c r="A44" s="687" t="str">
        <f>USM!A43</f>
        <v xml:space="preserve">Totale USM  </v>
      </c>
      <c r="B44" s="688"/>
      <c r="C44" s="688"/>
      <c r="D44" s="68"/>
      <c r="E44" s="688"/>
      <c r="F44" s="688"/>
      <c r="G44" s="11"/>
      <c r="H44" s="179">
        <f>ROUND((H24+H43),3)</f>
        <v>0</v>
      </c>
      <c r="K44" s="571" t="s">
        <v>58</v>
      </c>
      <c r="L44" s="580">
        <v>125000</v>
      </c>
      <c r="M44" s="42"/>
    </row>
    <row r="45" spans="1:14" s="12" customFormat="1" x14ac:dyDescent="0.2">
      <c r="A45" s="844" t="s">
        <v>288</v>
      </c>
      <c r="B45" s="709"/>
      <c r="C45" s="709"/>
      <c r="D45" s="63"/>
      <c r="E45" s="608" t="s">
        <v>67</v>
      </c>
      <c r="F45" s="610"/>
      <c r="G45" s="607"/>
      <c r="H45" s="609">
        <f>IF(F45=1,L46,0)</f>
        <v>0</v>
      </c>
      <c r="K45" s="866" t="s">
        <v>286</v>
      </c>
      <c r="L45" s="580">
        <v>25000</v>
      </c>
      <c r="M45" s="42"/>
    </row>
    <row r="46" spans="1:14" s="12" customFormat="1" x14ac:dyDescent="0.2">
      <c r="A46" s="772" t="s">
        <v>84</v>
      </c>
      <c r="B46" s="709"/>
      <c r="C46" s="709"/>
      <c r="D46" s="63"/>
      <c r="E46" s="709"/>
      <c r="F46" s="709"/>
      <c r="G46" s="709"/>
      <c r="H46" s="178" t="str">
        <f>IF(F45=1,H45,IF(H44=0,"",IF(H44&gt;0.999,L44+ROUNDDOWN((H44-1)/0.5,0)*L45,IF(H44&gt;0.599,L43,0))))</f>
        <v/>
      </c>
      <c r="K46" s="571" t="s">
        <v>287</v>
      </c>
      <c r="L46" s="628">
        <v>110000</v>
      </c>
      <c r="M46" s="42"/>
    </row>
    <row r="47" spans="1:14" s="12" customFormat="1" ht="16.149999999999999" customHeight="1" x14ac:dyDescent="0.2">
      <c r="A47" s="39"/>
      <c r="B47" s="64"/>
      <c r="C47" s="65"/>
      <c r="D47" s="66"/>
      <c r="E47" s="29"/>
      <c r="F47" s="724"/>
      <c r="G47" s="724"/>
      <c r="H47" s="27"/>
      <c r="L47" s="49"/>
      <c r="M47" s="42"/>
    </row>
    <row r="48" spans="1:14" s="12" customFormat="1" ht="12.75" customHeight="1" x14ac:dyDescent="0.2">
      <c r="A48" s="99" t="s">
        <v>83</v>
      </c>
      <c r="B48" s="98"/>
      <c r="C48" s="98"/>
      <c r="D48" s="98"/>
      <c r="E48" s="98"/>
      <c r="F48" s="98"/>
      <c r="G48" s="98"/>
      <c r="H48" s="100"/>
      <c r="L48" s="49"/>
      <c r="M48" s="42"/>
    </row>
    <row r="49" spans="1:14" s="12" customFormat="1" ht="12.75" customHeight="1" x14ac:dyDescent="0.2">
      <c r="A49" s="981"/>
      <c r="B49" s="982"/>
      <c r="C49" s="982"/>
      <c r="D49" s="982"/>
      <c r="E49" s="982"/>
      <c r="F49" s="982"/>
      <c r="G49" s="982"/>
      <c r="H49" s="983"/>
      <c r="L49" s="49"/>
      <c r="M49" s="42"/>
    </row>
    <row r="50" spans="1:14" s="12" customFormat="1" ht="12.75" customHeight="1" x14ac:dyDescent="0.2">
      <c r="A50" s="981"/>
      <c r="B50" s="982"/>
      <c r="C50" s="982"/>
      <c r="D50" s="982"/>
      <c r="E50" s="982"/>
      <c r="F50" s="982"/>
      <c r="G50" s="982"/>
      <c r="H50" s="983"/>
      <c r="L50" s="49"/>
      <c r="M50" s="42"/>
    </row>
    <row r="51" spans="1:14" s="12" customFormat="1" ht="12.75" customHeight="1" x14ac:dyDescent="0.2">
      <c r="A51" s="984"/>
      <c r="B51" s="985"/>
      <c r="C51" s="985"/>
      <c r="D51" s="985"/>
      <c r="E51" s="985"/>
      <c r="F51" s="985"/>
      <c r="G51" s="985"/>
      <c r="H51" s="986"/>
      <c r="M51" s="42"/>
    </row>
    <row r="52" spans="1:14" s="12" customFormat="1" ht="12.75" customHeight="1" x14ac:dyDescent="0.2">
      <c r="D52" s="17"/>
      <c r="F52" s="51"/>
      <c r="K52" s="207"/>
      <c r="L52" s="42"/>
      <c r="N52" s="49"/>
    </row>
    <row r="53" spans="1:14" s="12" customFormat="1" x14ac:dyDescent="0.2">
      <c r="A53" s="17"/>
      <c r="B53" s="17"/>
      <c r="C53" s="17"/>
      <c r="D53" s="17"/>
      <c r="E53" s="17"/>
      <c r="F53" s="54"/>
      <c r="G53" s="17"/>
      <c r="H53" s="17"/>
    </row>
    <row r="54" spans="1:14" s="48" customFormat="1" x14ac:dyDescent="0.2">
      <c r="A54" s="72"/>
      <c r="B54" s="46"/>
      <c r="C54" s="46"/>
      <c r="E54" s="103"/>
      <c r="F54" s="101"/>
      <c r="G54" s="47"/>
      <c r="H54" s="17"/>
      <c r="I54" s="47"/>
      <c r="J54" s="47"/>
      <c r="K54" s="47"/>
    </row>
    <row r="55" spans="1:14" x14ac:dyDescent="0.2">
      <c r="A55" s="72"/>
      <c r="B55" s="46"/>
      <c r="C55" s="46"/>
      <c r="D55" s="48"/>
      <c r="E55" s="97"/>
      <c r="F55" s="102"/>
      <c r="G55" s="47"/>
      <c r="I55" s="6"/>
      <c r="J55" s="47"/>
      <c r="K55" s="47"/>
      <c r="L55" s="48"/>
    </row>
    <row r="56" spans="1:14" x14ac:dyDescent="0.2">
      <c r="A56" s="72"/>
      <c r="B56" s="46"/>
      <c r="C56" s="46"/>
      <c r="D56" s="48"/>
      <c r="E56" s="108"/>
      <c r="F56" s="102"/>
      <c r="G56" s="47"/>
      <c r="J56" s="47"/>
      <c r="K56" s="47"/>
      <c r="L56" s="48"/>
    </row>
    <row r="57" spans="1:14" x14ac:dyDescent="0.2">
      <c r="A57" s="72"/>
      <c r="B57" s="46"/>
      <c r="C57" s="46"/>
      <c r="D57" s="48"/>
      <c r="E57" s="97"/>
      <c r="F57" s="102"/>
      <c r="G57" s="47"/>
      <c r="J57" s="6"/>
      <c r="K57" s="6"/>
    </row>
  </sheetData>
  <sheetProtection algorithmName="SHA-512" hashValue="k/pkCPIIzAG0oRW1nWWrmcyLw+fOlKixybAQfUpwSRUKv9Qy4xPY0GLOcwCF27xab6090uvs7fj1GwEMIQVnEw==" saltValue="cADpasN+QZagCFC0sgSHCw==" spinCount="100000" sheet="1" objects="1" scenarios="1"/>
  <customSheetViews>
    <customSheetView guid="{DF1916F3-5A65-402D-BE4C-0D137DE653D6}" showGridLines="0" showRowCol="0" zeroValues="0" hiddenRows="1" hiddenColumns="1">
      <selection activeCell="B1" sqref="B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Starthilfe&amp;R&amp;8Form. 32</oddFooter>
      </headerFooter>
    </customSheetView>
  </customSheetViews>
  <mergeCells count="22">
    <mergeCell ref="A8:B8"/>
    <mergeCell ref="C8:D8"/>
    <mergeCell ref="C3:H3"/>
    <mergeCell ref="C4:H4"/>
    <mergeCell ref="C5:H5"/>
    <mergeCell ref="C6:H6"/>
    <mergeCell ref="C7:H7"/>
    <mergeCell ref="A3:B3"/>
    <mergeCell ref="A4:B4"/>
    <mergeCell ref="A5:B5"/>
    <mergeCell ref="A6:B6"/>
    <mergeCell ref="A7:B7"/>
    <mergeCell ref="K37:N37"/>
    <mergeCell ref="A49:H51"/>
    <mergeCell ref="A10:D11"/>
    <mergeCell ref="E10:E11"/>
    <mergeCell ref="F10:F11"/>
    <mergeCell ref="A41:D41"/>
    <mergeCell ref="G10:G11"/>
    <mergeCell ref="H10:H11"/>
    <mergeCell ref="A40:D40"/>
    <mergeCell ref="A42:D42"/>
  </mergeCells>
  <phoneticPr fontId="0" type="noConversion"/>
  <pageMargins left="0.78740157480314965" right="0.59055118110236227" top="0.78740157480314965" bottom="0.59055118110236227" header="0.31496062992125984" footer="0.31496062992125984"/>
  <pageSetup paperSize="9" scale="88" orientation="portrait" r:id="rId2"/>
  <headerFooter alignWithMargins="0">
    <oddHeader>&amp;L&amp;8Ufficio federale dell'agricoltura&amp;R&amp;8Aiuto al calcolo; stato 1.2023</oddHeader>
    <oddFooter>&amp;L&amp;8&amp;D; &amp;T&amp;R&amp;8&amp;A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47"/>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1" width="40.5703125" style="17" customWidth="1"/>
    <col min="2" max="2" width="16.5703125" style="17" customWidth="1"/>
    <col min="3" max="4" width="11.85546875" style="17" customWidth="1"/>
    <col min="5" max="5" width="10.85546875" style="17" customWidth="1"/>
    <col min="6" max="6" width="9.140625" style="17" customWidth="1"/>
    <col min="7" max="7" width="7.140625" style="17" customWidth="1"/>
    <col min="8" max="8" width="41.28515625" style="17" customWidth="1"/>
    <col min="9" max="9" width="9" style="17" customWidth="1"/>
    <col min="10" max="16384" width="11.42578125" style="17"/>
  </cols>
  <sheetData>
    <row r="1" spans="1:9" s="1" customFormat="1" ht="25.15" customHeight="1" x14ac:dyDescent="0.2">
      <c r="A1" s="845" t="s">
        <v>260</v>
      </c>
      <c r="B1" s="180"/>
      <c r="C1" s="180"/>
      <c r="D1" s="180"/>
      <c r="E1" s="843"/>
      <c r="F1" s="849"/>
    </row>
    <row r="2" spans="1:9" s="1" customFormat="1" ht="12.75" customHeight="1" x14ac:dyDescent="0.2">
      <c r="A2" s="865"/>
      <c r="B2" s="865"/>
      <c r="C2" s="865"/>
      <c r="D2" s="865"/>
      <c r="E2" s="865"/>
      <c r="F2" s="865"/>
    </row>
    <row r="3" spans="1:9" s="1" customFormat="1" ht="12.75" customHeight="1" x14ac:dyDescent="0.2">
      <c r="A3" s="577" t="str">
        <f>'20 aiuto iniziale'!A3:B3</f>
        <v>Richiedente</v>
      </c>
      <c r="B3" s="978">
        <f>USM!B3</f>
        <v>0</v>
      </c>
      <c r="C3" s="979"/>
      <c r="D3" s="979"/>
      <c r="E3" s="979"/>
      <c r="F3" s="980"/>
    </row>
    <row r="4" spans="1:9" s="32" customFormat="1" ht="12.75" customHeight="1" x14ac:dyDescent="0.2">
      <c r="A4" s="7" t="str">
        <f>'20 aiuto iniziale'!A4:B4</f>
        <v>Comune politico</v>
      </c>
      <c r="B4" s="987">
        <f>USM!B4</f>
        <v>0</v>
      </c>
      <c r="C4" s="1038"/>
      <c r="D4" s="1038"/>
      <c r="E4" s="1038"/>
      <c r="F4" s="1039"/>
    </row>
    <row r="5" spans="1:9" s="32" customFormat="1" ht="12.75" customHeight="1" x14ac:dyDescent="0.2">
      <c r="A5" s="7" t="str">
        <f>'20 aiuto iniziale'!A5:B5</f>
        <v>N. Cantone</v>
      </c>
      <c r="B5" s="969">
        <f>USM!B5</f>
        <v>0</v>
      </c>
      <c r="C5" s="1040"/>
      <c r="D5" s="1040"/>
      <c r="E5" s="1040"/>
      <c r="F5" s="1041"/>
    </row>
    <row r="6" spans="1:9" s="32" customFormat="1" ht="12.75" customHeight="1" x14ac:dyDescent="0.2">
      <c r="A6" s="8" t="str">
        <f>'20 aiuto iniziale'!A6:B6</f>
        <v>N. CSF eMapis</v>
      </c>
      <c r="B6" s="972">
        <f>USM!B6</f>
        <v>0</v>
      </c>
      <c r="C6" s="1042"/>
      <c r="D6" s="1042"/>
      <c r="E6" s="1042"/>
      <c r="F6" s="1043"/>
    </row>
    <row r="7" spans="1:9" s="32" customFormat="1" ht="12.75" customHeight="1" x14ac:dyDescent="0.2">
      <c r="A7" s="7" t="str">
        <f>'20 aiuto iniziale'!A7:B7</f>
        <v>Zone</v>
      </c>
      <c r="B7" s="1044">
        <f>USM!B7</f>
        <v>0</v>
      </c>
      <c r="C7" s="1045"/>
      <c r="D7" s="1045"/>
      <c r="E7" s="1045"/>
      <c r="F7" s="1046"/>
    </row>
    <row r="8" spans="1:9" s="32" customFormat="1" ht="12.75" customHeight="1" x14ac:dyDescent="0.2">
      <c r="A8" s="7" t="str">
        <f>'20 aiuto iniziale'!A8:B8</f>
        <v>Costi del provvedimento</v>
      </c>
      <c r="B8" s="739"/>
      <c r="C8" s="411"/>
      <c r="D8" s="411"/>
      <c r="E8" s="411"/>
      <c r="F8" s="629"/>
    </row>
    <row r="9" spans="1:9" s="31" customFormat="1" ht="12.75" customHeight="1" x14ac:dyDescent="0.2">
      <c r="A9" s="1057"/>
      <c r="B9" s="1058"/>
      <c r="C9" s="1059"/>
      <c r="D9" s="1059"/>
      <c r="E9" s="1060"/>
      <c r="F9" s="1061"/>
    </row>
    <row r="10" spans="1:9" s="37" customFormat="1" ht="12.75" customHeight="1" x14ac:dyDescent="0.2">
      <c r="A10" s="864" t="s">
        <v>259</v>
      </c>
      <c r="B10" s="1053" t="s">
        <v>139</v>
      </c>
      <c r="C10" s="1053" t="s">
        <v>210</v>
      </c>
      <c r="D10" s="1053" t="s">
        <v>140</v>
      </c>
      <c r="E10" s="1055" t="s">
        <v>141</v>
      </c>
      <c r="F10" s="991" t="s">
        <v>138</v>
      </c>
    </row>
    <row r="11" spans="1:9" s="35" customFormat="1" x14ac:dyDescent="0.2">
      <c r="A11" s="701"/>
      <c r="B11" s="1054"/>
      <c r="C11" s="1054"/>
      <c r="D11" s="1054"/>
      <c r="E11" s="1056"/>
      <c r="F11" s="992"/>
      <c r="G11" s="58"/>
      <c r="H11" s="186" t="s">
        <v>142</v>
      </c>
      <c r="I11" s="185"/>
    </row>
    <row r="12" spans="1:9" s="23" customFormat="1" ht="12.75" customHeight="1" x14ac:dyDescent="0.2">
      <c r="A12" s="138" t="s">
        <v>132</v>
      </c>
      <c r="B12" s="467"/>
      <c r="C12" s="575"/>
      <c r="D12" s="630">
        <f>B12-C12</f>
        <v>0</v>
      </c>
      <c r="E12" s="745"/>
      <c r="F12" s="578">
        <f>IF(D12*E12/100&gt;I12,I12,D12*E12/100)</f>
        <v>0</v>
      </c>
      <c r="G12" s="56"/>
      <c r="H12" s="187" t="s">
        <v>132</v>
      </c>
      <c r="I12" s="188">
        <v>200000</v>
      </c>
    </row>
    <row r="13" spans="1:9" s="38" customFormat="1" ht="12.75" customHeight="1" x14ac:dyDescent="0.2">
      <c r="A13" s="91" t="s">
        <v>133</v>
      </c>
      <c r="B13" s="468"/>
      <c r="C13" s="576"/>
      <c r="D13" s="631">
        <f>B13-C13</f>
        <v>0</v>
      </c>
      <c r="E13" s="746"/>
      <c r="F13" s="742">
        <f t="shared" ref="F13:F14" si="0">IF(D13*E13/100&gt;I13,I13,D13*E13/100)</f>
        <v>0</v>
      </c>
      <c r="G13" s="50"/>
      <c r="H13" s="189" t="s">
        <v>133</v>
      </c>
      <c r="I13" s="190">
        <v>160000</v>
      </c>
    </row>
    <row r="14" spans="1:9" s="26" customFormat="1" ht="12.75" customHeight="1" x14ac:dyDescent="0.2">
      <c r="A14" s="514" t="s">
        <v>134</v>
      </c>
      <c r="B14" s="468"/>
      <c r="C14" s="576"/>
      <c r="D14" s="632">
        <f>B14-C14</f>
        <v>0</v>
      </c>
      <c r="E14" s="747"/>
      <c r="F14" s="741">
        <f t="shared" si="0"/>
        <v>0</v>
      </c>
      <c r="G14" s="57"/>
      <c r="H14" s="191" t="s">
        <v>134</v>
      </c>
      <c r="I14" s="192">
        <v>120000</v>
      </c>
    </row>
    <row r="15" spans="1:9" s="26" customFormat="1" ht="12.75" customHeight="1" x14ac:dyDescent="0.2">
      <c r="A15" s="771" t="s">
        <v>135</v>
      </c>
      <c r="B15" s="708"/>
      <c r="C15" s="708"/>
      <c r="D15" s="708"/>
      <c r="E15" s="633"/>
      <c r="F15" s="579">
        <f>ROUNDDOWN(IF(SUM(F12:F14)&gt;I12,I12,SUM(F12:F14)),0)</f>
        <v>0</v>
      </c>
      <c r="G15" s="57"/>
      <c r="H15" s="181"/>
      <c r="I15" s="182"/>
    </row>
    <row r="16" spans="1:9" s="26" customFormat="1" x14ac:dyDescent="0.2">
      <c r="A16" s="442" t="s">
        <v>136</v>
      </c>
      <c r="B16" s="815"/>
      <c r="C16" s="815"/>
      <c r="D16" s="815"/>
      <c r="E16" s="816"/>
      <c r="F16" s="453"/>
      <c r="G16" s="50"/>
      <c r="H16" s="181"/>
      <c r="I16" s="182"/>
    </row>
    <row r="17" spans="1:9" s="26" customFormat="1" ht="12.75" customHeight="1" x14ac:dyDescent="0.2">
      <c r="A17" s="773" t="s">
        <v>137</v>
      </c>
      <c r="B17" s="775"/>
      <c r="C17" s="775"/>
      <c r="D17" s="775"/>
      <c r="E17" s="817"/>
      <c r="F17" s="28">
        <f>F15+F16</f>
        <v>0</v>
      </c>
      <c r="G17" s="57"/>
      <c r="H17" s="181"/>
      <c r="I17" s="183"/>
    </row>
    <row r="18" spans="1:9" s="26" customFormat="1" ht="12.75" customHeight="1" x14ac:dyDescent="0.2">
      <c r="A18" s="774"/>
      <c r="B18" s="724"/>
      <c r="C18" s="724"/>
      <c r="D18" s="724"/>
      <c r="E18" s="170"/>
      <c r="F18" s="27"/>
      <c r="G18" s="42"/>
      <c r="H18" s="72"/>
      <c r="I18" s="97"/>
    </row>
    <row r="19" spans="1:9" s="26" customFormat="1" ht="12.75" customHeight="1" x14ac:dyDescent="0.2">
      <c r="A19" s="777" t="s">
        <v>83</v>
      </c>
      <c r="B19" s="685"/>
      <c r="C19" s="685"/>
      <c r="D19" s="685"/>
      <c r="E19" s="685"/>
      <c r="F19" s="686"/>
      <c r="G19" s="42"/>
      <c r="H19" s="72"/>
      <c r="I19" s="97"/>
    </row>
    <row r="20" spans="1:9" s="26" customFormat="1" ht="16.149999999999999" customHeight="1" x14ac:dyDescent="0.2">
      <c r="A20" s="1047"/>
      <c r="B20" s="1048"/>
      <c r="C20" s="1048"/>
      <c r="D20" s="1048"/>
      <c r="E20" s="1048"/>
      <c r="F20" s="1049"/>
      <c r="G20" s="50"/>
      <c r="H20" s="72"/>
      <c r="I20" s="97"/>
    </row>
    <row r="21" spans="1:9" s="26" customFormat="1" ht="12.75" customHeight="1" x14ac:dyDescent="0.2">
      <c r="A21" s="1047"/>
      <c r="B21" s="1048"/>
      <c r="C21" s="1048"/>
      <c r="D21" s="1048"/>
      <c r="E21" s="1048"/>
      <c r="F21" s="1049"/>
      <c r="G21" s="50"/>
    </row>
    <row r="22" spans="1:9" s="26" customFormat="1" ht="12.75" customHeight="1" x14ac:dyDescent="0.2">
      <c r="A22" s="1047"/>
      <c r="B22" s="1048"/>
      <c r="C22" s="1048"/>
      <c r="D22" s="1048"/>
      <c r="E22" s="1048"/>
      <c r="F22" s="1049"/>
      <c r="G22" s="57"/>
    </row>
    <row r="23" spans="1:9" s="26" customFormat="1" ht="12.75" customHeight="1" x14ac:dyDescent="0.2">
      <c r="A23" s="1047"/>
      <c r="B23" s="1048"/>
      <c r="C23" s="1048"/>
      <c r="D23" s="1048"/>
      <c r="E23" s="1048"/>
      <c r="F23" s="1049"/>
      <c r="G23" s="57"/>
    </row>
    <row r="24" spans="1:9" s="24" customFormat="1" ht="12.75" customHeight="1" x14ac:dyDescent="0.2">
      <c r="A24" s="1047"/>
      <c r="B24" s="1048"/>
      <c r="C24" s="1048"/>
      <c r="D24" s="1048"/>
      <c r="E24" s="1048"/>
      <c r="F24" s="1049"/>
      <c r="G24" s="60"/>
    </row>
    <row r="25" spans="1:9" s="24" customFormat="1" ht="12.75" customHeight="1" x14ac:dyDescent="0.2">
      <c r="A25" s="1047"/>
      <c r="B25" s="1048"/>
      <c r="C25" s="1048"/>
      <c r="D25" s="1048"/>
      <c r="E25" s="1048"/>
      <c r="F25" s="1049"/>
      <c r="G25" s="60"/>
    </row>
    <row r="26" spans="1:9" s="32" customFormat="1" ht="12.75" customHeight="1" x14ac:dyDescent="0.2">
      <c r="A26" s="1047"/>
      <c r="B26" s="1048"/>
      <c r="C26" s="1048"/>
      <c r="D26" s="1048"/>
      <c r="E26" s="1048"/>
      <c r="F26" s="1049"/>
      <c r="G26" s="59"/>
    </row>
    <row r="27" spans="1:9" s="32" customFormat="1" ht="12.75" customHeight="1" x14ac:dyDescent="0.2">
      <c r="A27" s="1047"/>
      <c r="B27" s="1048"/>
      <c r="C27" s="1048"/>
      <c r="D27" s="1048"/>
      <c r="E27" s="1048"/>
      <c r="F27" s="1049"/>
      <c r="G27" s="59"/>
    </row>
    <row r="28" spans="1:9" s="12" customFormat="1" ht="12.75" customHeight="1" x14ac:dyDescent="0.2">
      <c r="A28" s="1050"/>
      <c r="B28" s="1051"/>
      <c r="C28" s="1051"/>
      <c r="D28" s="1051"/>
      <c r="E28" s="1051"/>
      <c r="F28" s="1052"/>
      <c r="G28" s="42"/>
    </row>
    <row r="29" spans="1:9" s="12" customFormat="1" ht="12.75" customHeight="1" x14ac:dyDescent="0.2">
      <c r="A29" s="45"/>
      <c r="B29" s="45"/>
      <c r="C29" s="45"/>
      <c r="D29" s="45"/>
      <c r="E29" s="45"/>
      <c r="F29" s="45"/>
      <c r="G29" s="42"/>
    </row>
    <row r="30" spans="1:9" s="12" customFormat="1" x14ac:dyDescent="0.2">
      <c r="A30" s="49"/>
      <c r="B30" s="49"/>
      <c r="C30" s="49"/>
      <c r="D30" s="49"/>
      <c r="E30" s="48"/>
      <c r="F30" s="48"/>
      <c r="G30" s="42"/>
    </row>
    <row r="31" spans="1:9" s="12" customFormat="1" x14ac:dyDescent="0.2">
      <c r="A31" s="39"/>
      <c r="B31" s="17"/>
      <c r="C31" s="17"/>
      <c r="D31" s="17"/>
      <c r="E31" s="17"/>
      <c r="F31" s="17"/>
      <c r="G31" s="42"/>
    </row>
    <row r="32" spans="1:9" s="12" customFormat="1" x14ac:dyDescent="0.2">
      <c r="B32" s="48"/>
      <c r="F32" s="17"/>
      <c r="G32" s="42"/>
    </row>
    <row r="33" spans="1:7" s="12" customFormat="1" x14ac:dyDescent="0.2">
      <c r="A33" s="39"/>
      <c r="B33" s="17"/>
      <c r="C33" s="17"/>
      <c r="D33" s="17"/>
      <c r="E33" s="17"/>
      <c r="F33" s="17"/>
      <c r="G33" s="42"/>
    </row>
    <row r="34" spans="1:7" s="12" customFormat="1" x14ac:dyDescent="0.2">
      <c r="A34" s="39"/>
      <c r="B34" s="17"/>
      <c r="C34" s="17"/>
      <c r="D34" s="17"/>
      <c r="E34" s="17"/>
      <c r="F34" s="17"/>
      <c r="G34" s="42"/>
    </row>
    <row r="35" spans="1:7" s="12" customFormat="1" ht="12.75" customHeight="1" x14ac:dyDescent="0.2">
      <c r="A35" s="39"/>
      <c r="B35" s="17"/>
      <c r="C35" s="17"/>
      <c r="D35" s="17"/>
      <c r="E35" s="17"/>
      <c r="F35" s="17"/>
      <c r="G35" s="42"/>
    </row>
    <row r="36" spans="1:7" s="12" customFormat="1" ht="12.75" customHeight="1" x14ac:dyDescent="0.2">
      <c r="A36" s="39"/>
      <c r="B36" s="17"/>
      <c r="C36" s="17"/>
      <c r="D36" s="17"/>
      <c r="E36" s="17"/>
      <c r="F36" s="17"/>
      <c r="G36" s="42"/>
    </row>
    <row r="37" spans="1:7" ht="15" customHeight="1" x14ac:dyDescent="0.2">
      <c r="A37" s="6"/>
      <c r="G37" s="42"/>
    </row>
    <row r="38" spans="1:7" x14ac:dyDescent="0.2">
      <c r="G38" s="42"/>
    </row>
    <row r="39" spans="1:7" x14ac:dyDescent="0.2">
      <c r="G39" s="42"/>
    </row>
    <row r="40" spans="1:7" x14ac:dyDescent="0.2">
      <c r="G40" s="55"/>
    </row>
    <row r="41" spans="1:7" s="48" customFormat="1" x14ac:dyDescent="0.2">
      <c r="A41" s="17"/>
      <c r="B41" s="17"/>
      <c r="C41" s="17"/>
      <c r="D41" s="17"/>
      <c r="E41" s="17"/>
      <c r="F41" s="17"/>
      <c r="G41" s="49"/>
    </row>
    <row r="42" spans="1:7" s="48" customFormat="1" x14ac:dyDescent="0.2">
      <c r="A42" s="17"/>
      <c r="B42" s="17"/>
      <c r="C42" s="17"/>
      <c r="D42" s="17"/>
      <c r="E42" s="17"/>
      <c r="F42" s="17"/>
      <c r="G42" s="49"/>
    </row>
    <row r="43" spans="1:7" s="48" customFormat="1" x14ac:dyDescent="0.2">
      <c r="A43" s="17"/>
      <c r="B43" s="17"/>
      <c r="C43" s="17"/>
      <c r="D43" s="17"/>
      <c r="E43" s="17"/>
      <c r="F43" s="17"/>
      <c r="G43" s="49"/>
    </row>
    <row r="44" spans="1:7" s="48" customFormat="1" x14ac:dyDescent="0.2">
      <c r="A44" s="17"/>
      <c r="B44" s="17"/>
      <c r="C44" s="17"/>
      <c r="D44" s="17"/>
      <c r="E44" s="17"/>
      <c r="F44" s="17"/>
      <c r="G44" s="49"/>
    </row>
    <row r="45" spans="1:7" s="48" customFormat="1" x14ac:dyDescent="0.2">
      <c r="F45" s="17"/>
      <c r="G45" s="49"/>
    </row>
    <row r="46" spans="1:7" s="48" customFormat="1" x14ac:dyDescent="0.2">
      <c r="A46" s="49"/>
      <c r="E46" s="634"/>
      <c r="F46" s="17"/>
      <c r="G46" s="49"/>
    </row>
    <row r="47" spans="1:7" x14ac:dyDescent="0.2">
      <c r="G47" s="42"/>
    </row>
  </sheetData>
  <sheetProtection algorithmName="SHA-512" hashValue="l3JihypBYCmyoF2PGu/vsIBcE7fsMEVRYg7CrChwBhS99+Oi2d7607niC+nXkvtanHWPBWW+O/xIeS00tAVOrg==" saltValue="1uxzkunGSZvRIC+Gt9/few==" spinCount="100000" sheet="1" objects="1" scenarios="1"/>
  <customSheetViews>
    <customSheetView guid="{DF1916F3-5A65-402D-BE4C-0D137DE653D6}" showGridLines="0" showRowCol="0" zeroValues="0" hiddenRows="1" hiddenColumns="1">
      <selection sqref="A1:F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Wohnhaus&amp;R&amp;8Form. 33</oddFooter>
      </headerFooter>
    </customSheetView>
  </customSheetViews>
  <mergeCells count="12">
    <mergeCell ref="A20:F28"/>
    <mergeCell ref="B10:B11"/>
    <mergeCell ref="E10:E11"/>
    <mergeCell ref="A9:F9"/>
    <mergeCell ref="F10:F11"/>
    <mergeCell ref="C10:C11"/>
    <mergeCell ref="D10:D11"/>
    <mergeCell ref="B3:F3"/>
    <mergeCell ref="B4:F4"/>
    <mergeCell ref="B5:F5"/>
    <mergeCell ref="B6:F6"/>
    <mergeCell ref="B7:F7"/>
  </mergeCells>
  <phoneticPr fontId="0" type="noConversion"/>
  <conditionalFormatting sqref="E12:E14">
    <cfRule type="cellIs" dxfId="55" priority="1" operator="greaterThan">
      <formula>50</formula>
    </cfRule>
  </conditionalFormatting>
  <pageMargins left="0.78740157480314965" right="0.59055118110236227" top="0.78740157480314965" bottom="0.59055118110236227" header="0.31496062992125984" footer="0.31496062992125984"/>
  <pageSetup paperSize="9" scale="88" orientation="portrait" r:id="rId2"/>
  <headerFooter alignWithMargins="0">
    <oddHeader>&amp;L&amp;8Ufficio federale dell'agricoltura&amp;R&amp;8Aiuto al calcolo; stato 1.2023</oddHeader>
    <oddFooter>&amp;L&amp;8&amp;D; &amp;T&amp;R&amp;8&amp;A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32"/>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1" width="30.7109375" style="17" customWidth="1"/>
    <col min="2" max="2" width="8.42578125" style="17" customWidth="1"/>
    <col min="3" max="3" width="7.140625" style="17" customWidth="1"/>
    <col min="4" max="4" width="9.85546875" style="17" customWidth="1"/>
    <col min="5" max="5" width="9.28515625" style="17" customWidth="1"/>
    <col min="6" max="6" width="13.140625" style="17" customWidth="1"/>
    <col min="7" max="7" width="6.28515625" style="17" customWidth="1"/>
    <col min="8" max="9" width="11.42578125" style="17" customWidth="1"/>
    <col min="10" max="10" width="16.140625" style="17" bestFit="1" customWidth="1"/>
    <col min="11" max="13" width="11.42578125" style="17" customWidth="1"/>
    <col min="14" max="16384" width="11.42578125" style="17"/>
  </cols>
  <sheetData>
    <row r="1" spans="1:14" s="30" customFormat="1" ht="25.15" customHeight="1" x14ac:dyDescent="0.2">
      <c r="A1" s="967" t="s">
        <v>258</v>
      </c>
      <c r="B1" s="968"/>
      <c r="C1" s="968"/>
      <c r="D1" s="968"/>
      <c r="E1" s="968"/>
      <c r="F1" s="968"/>
      <c r="G1" s="968"/>
      <c r="H1" s="729"/>
    </row>
    <row r="2" spans="1:14" s="19" customFormat="1" ht="13.5" customHeight="1" x14ac:dyDescent="0.2">
      <c r="A2" s="1078"/>
      <c r="B2" s="1078"/>
      <c r="C2" s="1078"/>
      <c r="D2" s="1078"/>
      <c r="E2" s="1078"/>
      <c r="F2" s="1078"/>
      <c r="G2" s="1078"/>
      <c r="H2" s="1078"/>
      <c r="I2" s="18"/>
    </row>
    <row r="3" spans="1:14" s="19" customFormat="1" ht="12.75" customHeight="1" x14ac:dyDescent="0.2">
      <c r="A3" s="7" t="str">
        <f>'20 aiuto iniziale'!A3:B3</f>
        <v>Richiedente</v>
      </c>
      <c r="B3" s="978">
        <f>USM!B3</f>
        <v>0</v>
      </c>
      <c r="C3" s="979"/>
      <c r="D3" s="979"/>
      <c r="E3" s="979"/>
      <c r="F3" s="979"/>
      <c r="G3" s="979"/>
      <c r="H3" s="980"/>
      <c r="I3" s="18"/>
      <c r="J3" s="24"/>
    </row>
    <row r="4" spans="1:14" s="20" customFormat="1" ht="12.75" customHeight="1" x14ac:dyDescent="0.2">
      <c r="A4" s="7" t="str">
        <f>'20 aiuto iniziale'!A4:B4</f>
        <v>Comune politico</v>
      </c>
      <c r="B4" s="987">
        <f>USM!B4</f>
        <v>0</v>
      </c>
      <c r="C4" s="1038"/>
      <c r="D4" s="1038"/>
      <c r="E4" s="1038"/>
      <c r="F4" s="1038"/>
      <c r="G4" s="1038"/>
      <c r="H4" s="1039"/>
    </row>
    <row r="5" spans="1:14" s="20" customFormat="1" ht="12.75" customHeight="1" x14ac:dyDescent="0.2">
      <c r="A5" s="7" t="str">
        <f>'20 aiuto iniziale'!A5:B5</f>
        <v>N. Cantone</v>
      </c>
      <c r="B5" s="1079">
        <f>USM!B5</f>
        <v>0</v>
      </c>
      <c r="C5" s="1080"/>
      <c r="D5" s="1080"/>
      <c r="E5" s="1080"/>
      <c r="F5" s="1080"/>
      <c r="G5" s="1080"/>
      <c r="H5" s="1081"/>
      <c r="I5" s="12"/>
    </row>
    <row r="6" spans="1:14" s="20" customFormat="1" ht="12.75" customHeight="1" x14ac:dyDescent="0.2">
      <c r="A6" s="8" t="str">
        <f>'20 aiuto iniziale'!A6:B6</f>
        <v>N. CSF eMapis</v>
      </c>
      <c r="B6" s="1084">
        <f>USM!B6</f>
        <v>0</v>
      </c>
      <c r="C6" s="1085"/>
      <c r="D6" s="1085"/>
      <c r="E6" s="1085"/>
      <c r="F6" s="1085"/>
      <c r="G6" s="1085"/>
      <c r="H6" s="1086"/>
      <c r="I6" s="12"/>
    </row>
    <row r="7" spans="1:14" s="20" customFormat="1" ht="12.75" customHeight="1" x14ac:dyDescent="0.2">
      <c r="A7" s="7" t="str">
        <f>'20 aiuto iniziale'!A7:B7</f>
        <v>Zone</v>
      </c>
      <c r="B7" s="1087">
        <f>USM!B7</f>
        <v>0</v>
      </c>
      <c r="C7" s="1080"/>
      <c r="D7" s="1080"/>
      <c r="E7" s="1080"/>
      <c r="F7" s="1080"/>
      <c r="G7" s="1080"/>
      <c r="H7" s="1081"/>
      <c r="I7" s="12"/>
    </row>
    <row r="8" spans="1:14" s="20" customFormat="1" ht="12.75" customHeight="1" x14ac:dyDescent="0.2">
      <c r="A8" s="707" t="str">
        <f>'30 abitazione'!A8</f>
        <v>Costi del provvedimento</v>
      </c>
      <c r="B8" s="1082"/>
      <c r="C8" s="1083"/>
      <c r="D8" s="411"/>
      <c r="E8" s="411"/>
      <c r="F8" s="411"/>
      <c r="G8" s="411"/>
      <c r="H8" s="629"/>
    </row>
    <row r="9" spans="1:14" s="12" customFormat="1" ht="12.75" customHeight="1" x14ac:dyDescent="0.2">
      <c r="A9" s="1005"/>
      <c r="B9" s="968"/>
      <c r="C9" s="968"/>
      <c r="D9" s="968"/>
      <c r="E9" s="968"/>
      <c r="F9" s="968"/>
      <c r="G9" s="968"/>
      <c r="H9" s="968"/>
      <c r="I9" s="6"/>
    </row>
    <row r="10" spans="1:14" s="23" customFormat="1" ht="38.25" customHeight="1" x14ac:dyDescent="0.2">
      <c r="A10" s="1072" t="s">
        <v>147</v>
      </c>
      <c r="B10" s="1073"/>
      <c r="C10" s="1074"/>
      <c r="D10" s="25" t="s">
        <v>62</v>
      </c>
      <c r="E10" s="21" t="s">
        <v>63</v>
      </c>
      <c r="F10" s="781" t="s">
        <v>148</v>
      </c>
      <c r="G10" s="781" t="s">
        <v>142</v>
      </c>
      <c r="H10" s="22" t="s">
        <v>138</v>
      </c>
    </row>
    <row r="11" spans="1:14" s="26" customFormat="1" ht="12.75" customHeight="1" x14ac:dyDescent="0.2">
      <c r="A11" s="1069" t="s">
        <v>143</v>
      </c>
      <c r="B11" s="1070"/>
      <c r="C11" s="1071"/>
      <c r="D11" s="9" t="s">
        <v>66</v>
      </c>
      <c r="E11" s="748"/>
      <c r="F11" s="748"/>
      <c r="G11" s="750">
        <v>6600</v>
      </c>
      <c r="H11" s="40">
        <f>E11*(100-F11)/100*G11</f>
        <v>0</v>
      </c>
      <c r="I11" s="12"/>
      <c r="J11" s="726"/>
      <c r="K11" s="726"/>
      <c r="L11" s="726"/>
      <c r="M11" s="726"/>
      <c r="N11" s="726"/>
    </row>
    <row r="12" spans="1:14" s="26" customFormat="1" ht="12.75" customHeight="1" x14ac:dyDescent="0.2">
      <c r="A12" s="1069" t="s">
        <v>144</v>
      </c>
      <c r="B12" s="1070"/>
      <c r="C12" s="1071"/>
      <c r="D12" s="9" t="s">
        <v>66</v>
      </c>
      <c r="E12" s="748"/>
      <c r="F12" s="748"/>
      <c r="G12" s="750">
        <v>3200</v>
      </c>
      <c r="H12" s="40">
        <f>E12*(100-F12)/100*G12</f>
        <v>0</v>
      </c>
      <c r="I12" s="12"/>
      <c r="J12" s="726"/>
      <c r="K12" s="726"/>
      <c r="L12" s="726"/>
      <c r="M12" s="726"/>
      <c r="N12" s="726"/>
    </row>
    <row r="13" spans="1:14" s="26" customFormat="1" ht="12.75" customHeight="1" x14ac:dyDescent="0.2">
      <c r="A13" s="1069" t="s">
        <v>145</v>
      </c>
      <c r="B13" s="1070"/>
      <c r="C13" s="1071"/>
      <c r="D13" s="9" t="s">
        <v>66</v>
      </c>
      <c r="E13" s="748"/>
      <c r="F13" s="748"/>
      <c r="G13" s="750">
        <v>4800</v>
      </c>
      <c r="H13" s="40">
        <f>E13*(100-F13)/100*G13</f>
        <v>0</v>
      </c>
      <c r="I13" s="12"/>
      <c r="J13" s="726"/>
      <c r="K13" s="726"/>
      <c r="L13" s="726"/>
      <c r="M13" s="726"/>
      <c r="N13" s="726"/>
    </row>
    <row r="14" spans="1:14" s="26" customFormat="1" ht="12.75" customHeight="1" x14ac:dyDescent="0.2">
      <c r="A14" s="1075" t="s">
        <v>146</v>
      </c>
      <c r="B14" s="1076"/>
      <c r="C14" s="1077"/>
      <c r="D14" s="10" t="s">
        <v>66</v>
      </c>
      <c r="E14" s="749"/>
      <c r="F14" s="749"/>
      <c r="G14" s="751">
        <v>5700</v>
      </c>
      <c r="H14" s="41">
        <f>E14*(100-F14)/100*G14</f>
        <v>0</v>
      </c>
      <c r="I14" s="12"/>
      <c r="J14" s="726"/>
      <c r="K14" s="726"/>
      <c r="L14" s="726"/>
      <c r="M14" s="726"/>
      <c r="N14" s="726"/>
    </row>
    <row r="15" spans="1:14" s="26" customFormat="1" ht="12.75" customHeight="1" x14ac:dyDescent="0.2">
      <c r="A15" s="1067" t="s">
        <v>137</v>
      </c>
      <c r="B15" s="1067"/>
      <c r="C15" s="1067"/>
      <c r="D15" s="1067"/>
      <c r="E15" s="1004"/>
      <c r="F15" s="694"/>
      <c r="G15" s="3"/>
      <c r="H15" s="28">
        <f>ROUNDDOWN(SUM(H11:H14),0)</f>
        <v>0</v>
      </c>
      <c r="I15" s="12"/>
      <c r="J15" s="726"/>
      <c r="K15" s="726"/>
      <c r="L15" s="726"/>
      <c r="M15" s="726"/>
      <c r="N15" s="726"/>
    </row>
    <row r="16" spans="1:14" s="26" customFormat="1" ht="12.75" customHeight="1" x14ac:dyDescent="0.2">
      <c r="A16" s="1068"/>
      <c r="B16" s="1068"/>
      <c r="C16" s="1068"/>
      <c r="D16" s="1068"/>
      <c r="E16" s="1068"/>
      <c r="F16" s="1068"/>
      <c r="G16" s="1068"/>
      <c r="H16" s="1068"/>
      <c r="I16" s="12"/>
      <c r="J16" s="726"/>
      <c r="K16" s="726"/>
      <c r="L16" s="726"/>
      <c r="M16" s="726"/>
      <c r="N16" s="726"/>
    </row>
    <row r="17" spans="1:10" s="26" customFormat="1" ht="12.75" customHeight="1" x14ac:dyDescent="0.2">
      <c r="A17" s="1062" t="s">
        <v>83</v>
      </c>
      <c r="B17" s="1063"/>
      <c r="C17" s="1063"/>
      <c r="D17" s="1063"/>
      <c r="E17" s="1063"/>
      <c r="F17" s="1063"/>
      <c r="G17" s="1063"/>
      <c r="H17" s="1064"/>
      <c r="I17" s="12"/>
      <c r="J17" s="5"/>
    </row>
    <row r="18" spans="1:10" s="26" customFormat="1" ht="12.75" customHeight="1" x14ac:dyDescent="0.2">
      <c r="A18" s="1065"/>
      <c r="B18" s="1066"/>
      <c r="C18" s="1066"/>
      <c r="D18" s="1066"/>
      <c r="E18" s="1066"/>
      <c r="F18" s="1066"/>
      <c r="G18" s="1066"/>
      <c r="H18" s="1049"/>
      <c r="I18" s="12"/>
      <c r="J18" s="34"/>
    </row>
    <row r="19" spans="1:10" s="20" customFormat="1" ht="18" customHeight="1" x14ac:dyDescent="0.2">
      <c r="A19" s="1047"/>
      <c r="B19" s="1066"/>
      <c r="C19" s="1066"/>
      <c r="D19" s="1066"/>
      <c r="E19" s="1066"/>
      <c r="F19" s="1066"/>
      <c r="G19" s="1066"/>
      <c r="H19" s="1049"/>
    </row>
    <row r="20" spans="1:10" s="726" customFormat="1" ht="12.75" customHeight="1" x14ac:dyDescent="0.2">
      <c r="A20" s="1047"/>
      <c r="B20" s="1066"/>
      <c r="C20" s="1066"/>
      <c r="D20" s="1066"/>
      <c r="E20" s="1066"/>
      <c r="F20" s="1066"/>
      <c r="G20" s="1066"/>
      <c r="H20" s="1049"/>
    </row>
    <row r="21" spans="1:10" s="726" customFormat="1" ht="12.75" customHeight="1" x14ac:dyDescent="0.2">
      <c r="A21" s="1047"/>
      <c r="B21" s="1066"/>
      <c r="C21" s="1066"/>
      <c r="D21" s="1066"/>
      <c r="E21" s="1066"/>
      <c r="F21" s="1066"/>
      <c r="G21" s="1066"/>
      <c r="H21" s="1049"/>
    </row>
    <row r="22" spans="1:10" s="726" customFormat="1" ht="12.75" customHeight="1" x14ac:dyDescent="0.2">
      <c r="A22" s="1047"/>
      <c r="B22" s="1066"/>
      <c r="C22" s="1066"/>
      <c r="D22" s="1066"/>
      <c r="E22" s="1066"/>
      <c r="F22" s="1066"/>
      <c r="G22" s="1066"/>
      <c r="H22" s="1049"/>
    </row>
    <row r="23" spans="1:10" s="726" customFormat="1" ht="12.75" customHeight="1" x14ac:dyDescent="0.2">
      <c r="A23" s="1047"/>
      <c r="B23" s="1066"/>
      <c r="C23" s="1066"/>
      <c r="D23" s="1066"/>
      <c r="E23" s="1066"/>
      <c r="F23" s="1066"/>
      <c r="G23" s="1066"/>
      <c r="H23" s="1049"/>
    </row>
    <row r="24" spans="1:10" s="726" customFormat="1" ht="12.75" customHeight="1" x14ac:dyDescent="0.2">
      <c r="A24" s="1047"/>
      <c r="B24" s="1066"/>
      <c r="C24" s="1066"/>
      <c r="D24" s="1066"/>
      <c r="E24" s="1066"/>
      <c r="F24" s="1066"/>
      <c r="G24" s="1066"/>
      <c r="H24" s="1049"/>
    </row>
    <row r="25" spans="1:10" s="726" customFormat="1" ht="12.75" customHeight="1" x14ac:dyDescent="0.2">
      <c r="A25" s="1047"/>
      <c r="B25" s="1066"/>
      <c r="C25" s="1066"/>
      <c r="D25" s="1066"/>
      <c r="E25" s="1066"/>
      <c r="F25" s="1066"/>
      <c r="G25" s="1066"/>
      <c r="H25" s="1049"/>
    </row>
    <row r="26" spans="1:10" s="726" customFormat="1" ht="12.75" customHeight="1" x14ac:dyDescent="0.2">
      <c r="A26" s="1047"/>
      <c r="B26" s="1066"/>
      <c r="C26" s="1066"/>
      <c r="D26" s="1066"/>
      <c r="E26" s="1066"/>
      <c r="F26" s="1066"/>
      <c r="G26" s="1066"/>
      <c r="H26" s="1049"/>
    </row>
    <row r="27" spans="1:10" s="726" customFormat="1" ht="12.75" customHeight="1" x14ac:dyDescent="0.2">
      <c r="A27" s="1050"/>
      <c r="B27" s="1051"/>
      <c r="C27" s="1051"/>
      <c r="D27" s="1051"/>
      <c r="E27" s="1051"/>
      <c r="F27" s="1051"/>
      <c r="G27" s="1051"/>
      <c r="H27" s="1052"/>
    </row>
    <row r="28" spans="1:10" s="726" customFormat="1" ht="12.75" customHeight="1" x14ac:dyDescent="0.2">
      <c r="A28" s="211"/>
      <c r="B28" s="211"/>
      <c r="C28" s="211"/>
      <c r="D28" s="211"/>
      <c r="E28" s="211"/>
      <c r="F28" s="211"/>
      <c r="G28" s="211"/>
      <c r="H28" s="211"/>
    </row>
    <row r="29" spans="1:10" s="726" customFormat="1" ht="12.75" customHeight="1" x14ac:dyDescent="0.2">
      <c r="A29" s="42"/>
      <c r="B29" s="43"/>
      <c r="C29" s="42"/>
      <c r="D29" s="42"/>
      <c r="E29" s="43"/>
      <c r="F29" s="42"/>
      <c r="G29" s="43"/>
      <c r="H29" s="42"/>
    </row>
    <row r="30" spans="1:10" s="726" customFormat="1" ht="12.75" customHeight="1" x14ac:dyDescent="0.2">
      <c r="A30" s="17"/>
      <c r="B30" s="17"/>
      <c r="C30" s="17"/>
      <c r="D30" s="17"/>
      <c r="E30" s="17"/>
      <c r="F30" s="17"/>
      <c r="G30" s="17"/>
      <c r="H30" s="17"/>
    </row>
    <row r="31" spans="1:10" s="12" customFormat="1" ht="12.75" customHeight="1" x14ac:dyDescent="0.2">
      <c r="A31" s="17"/>
      <c r="B31" s="17"/>
      <c r="C31" s="17"/>
      <c r="D31" s="17"/>
      <c r="E31" s="17"/>
      <c r="F31" s="17"/>
      <c r="G31" s="17"/>
      <c r="H31" s="17"/>
    </row>
    <row r="32" spans="1:10" s="12" customFormat="1" ht="12.75" customHeight="1" x14ac:dyDescent="0.2">
      <c r="A32" s="17"/>
      <c r="B32" s="17"/>
      <c r="C32" s="17"/>
      <c r="D32" s="17"/>
      <c r="E32" s="17"/>
      <c r="F32" s="17"/>
      <c r="G32" s="17"/>
      <c r="H32" s="17"/>
    </row>
  </sheetData>
  <sheetProtection algorithmName="SHA-512" hashValue="2IGmD13KwxlS9Sztrd49YuawVtm62AVONSDr4cojvTvcdRJdhD1rHy/Pfqt2E3qrZjuUcMmcirW8NUiWcd/COQ==" saltValue="yx1vBVR1XpddRsBgnRM5Nw==" spinCount="100000" sheet="1" objects="1" scenarios="1"/>
  <customSheetViews>
    <customSheetView guid="{DF1916F3-5A65-402D-BE4C-0D137DE653D6}" showGridLines="0" showRowCol="0" zeroValues="0" hiddenRows="1" hiddenColumns="1">
      <selection sqref="A1:G1"/>
      <pageMargins left="0.78740157480314965" right="0.59055118110236227" top="0.78740157480314965" bottom="0.59055118110236227" header="0.31496062992125984" footer="0.31496062992125984"/>
      <pageSetup paperSize="9" orientation="portrait" r:id="rId1"/>
      <headerFooter alignWithMargins="0">
        <oddHeader>&amp;L&amp;8Bundesamt für Landwirtschaft&amp;R&amp;8gültig ab 1.1.2008</oddHeader>
        <oddFooter>&amp;L&amp;8&amp;D&amp;C&amp;8IK Schweine und Geflügel&amp;R&amp;8Form. 35</oddFooter>
      </headerFooter>
    </customSheetView>
  </customSheetViews>
  <mergeCells count="18">
    <mergeCell ref="A1:G1"/>
    <mergeCell ref="A2:H2"/>
    <mergeCell ref="A9:H9"/>
    <mergeCell ref="B5:H5"/>
    <mergeCell ref="B4:H4"/>
    <mergeCell ref="B8:C8"/>
    <mergeCell ref="B6:H6"/>
    <mergeCell ref="B7:H7"/>
    <mergeCell ref="A17:H17"/>
    <mergeCell ref="A18:H27"/>
    <mergeCell ref="A15:E15"/>
    <mergeCell ref="A16:H16"/>
    <mergeCell ref="B3:H3"/>
    <mergeCell ref="A12:C12"/>
    <mergeCell ref="A11:C11"/>
    <mergeCell ref="A10:C10"/>
    <mergeCell ref="A14:C14"/>
    <mergeCell ref="A13:C13"/>
  </mergeCells>
  <phoneticPr fontId="0" type="noConversion"/>
  <pageMargins left="0.78740157480314965" right="0.59055118110236227" top="0.78740157480314965" bottom="0.59055118110236227" header="0.31496062992125984" footer="0.31496062992125984"/>
  <pageSetup paperSize="9" scale="93" orientation="portrait" r:id="rId2"/>
  <headerFooter alignWithMargins="0">
    <oddHeader>&amp;L&amp;8Ufficio federale dell'agricoltura&amp;R&amp;8Aiuto al calcolo; stato 1.2023</oddHeader>
    <oddFooter>&amp;L&amp;8&amp;D; &amp;T&amp;R&amp;8&amp;A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50"/>
  <sheetViews>
    <sheetView showGridLines="0" showRowColHeaders="0" showZeros="0" zoomScaleNormal="100" zoomScaleSheetLayoutView="100" workbookViewId="0">
      <selection activeCell="C12" sqref="C12"/>
    </sheetView>
  </sheetViews>
  <sheetFormatPr baseColWidth="10" defaultColWidth="11.42578125" defaultRowHeight="12.75" x14ac:dyDescent="0.2"/>
  <cols>
    <col min="1" max="1" width="24.85546875" style="17" customWidth="1"/>
    <col min="2" max="2" width="7.7109375" style="17" customWidth="1"/>
    <col min="3" max="3" width="8.7109375" style="17" customWidth="1"/>
    <col min="4" max="4" width="12.28515625" style="17" bestFit="1" customWidth="1"/>
    <col min="5" max="5" width="14" style="17" customWidth="1"/>
    <col min="6" max="6" width="17.42578125" style="17" customWidth="1"/>
    <col min="7" max="7" width="10.42578125" style="17" customWidth="1"/>
    <col min="8" max="8" width="12.42578125" style="17" customWidth="1"/>
    <col min="9" max="9" width="4" style="17" customWidth="1"/>
    <col min="10" max="10" width="19.7109375" style="17" customWidth="1"/>
    <col min="11" max="11" width="17" style="112" customWidth="1"/>
    <col min="12" max="12" width="19.7109375" style="17" customWidth="1"/>
    <col min="13" max="13" width="8.42578125" style="17" customWidth="1"/>
    <col min="14" max="15" width="11.7109375" style="17" customWidth="1"/>
    <col min="16" max="16" width="9.7109375" style="17" customWidth="1"/>
    <col min="17" max="17" width="19.7109375" style="17" bestFit="1" customWidth="1"/>
    <col min="18" max="18" width="12.42578125" style="17" customWidth="1"/>
    <col min="19" max="25" width="11.42578125" style="910"/>
    <col min="26" max="16384" width="11.42578125" style="17"/>
  </cols>
  <sheetData>
    <row r="1" spans="1:25" s="30" customFormat="1" ht="25.15" customHeight="1" x14ac:dyDescent="0.2">
      <c r="A1" s="1117" t="s">
        <v>225</v>
      </c>
      <c r="B1" s="1060"/>
      <c r="C1" s="1060"/>
      <c r="D1" s="1060"/>
      <c r="E1" s="1060"/>
      <c r="F1" s="1060"/>
      <c r="G1" s="1060"/>
      <c r="H1" s="729"/>
      <c r="I1" s="85"/>
      <c r="J1" s="1088" t="s">
        <v>180</v>
      </c>
      <c r="K1" s="1088"/>
      <c r="L1" s="1088"/>
      <c r="M1" s="1088"/>
      <c r="N1" s="1088"/>
      <c r="O1" s="1088"/>
      <c r="P1" s="1088"/>
      <c r="Q1" s="1088"/>
      <c r="S1" s="906"/>
      <c r="T1" s="906"/>
      <c r="U1" s="906"/>
      <c r="V1" s="906"/>
      <c r="W1" s="906"/>
      <c r="X1" s="906"/>
      <c r="Y1" s="906"/>
    </row>
    <row r="2" spans="1:25" s="90" customFormat="1" ht="12.75" customHeight="1" x14ac:dyDescent="0.2">
      <c r="A2" s="1118"/>
      <c r="B2" s="1118"/>
      <c r="C2" s="1118"/>
      <c r="D2" s="1118"/>
      <c r="E2" s="1118"/>
      <c r="F2" s="1118"/>
      <c r="G2" s="1118"/>
      <c r="H2" s="1118"/>
      <c r="I2" s="157"/>
      <c r="J2" s="379" t="s">
        <v>181</v>
      </c>
      <c r="K2" s="159" t="s">
        <v>182</v>
      </c>
      <c r="L2" s="378" t="s">
        <v>183</v>
      </c>
      <c r="M2" s="376" t="str">
        <f>A12</f>
        <v>Stalla</v>
      </c>
      <c r="N2" s="377" t="str">
        <f>A14</f>
        <v>Fienile / silo</v>
      </c>
      <c r="O2" s="377" t="str">
        <f>A15</f>
        <v>Impianto per il dep. di concimi</v>
      </c>
      <c r="P2" s="158" t="str">
        <f>A16</f>
        <v>Rimessa</v>
      </c>
      <c r="Q2" s="158" t="str">
        <f>A20</f>
        <v>Supplemento costi suppletivi</v>
      </c>
      <c r="S2" s="906"/>
      <c r="T2" s="906"/>
      <c r="U2" s="906"/>
      <c r="V2" s="906"/>
      <c r="W2" s="906"/>
      <c r="X2" s="906"/>
      <c r="Y2" s="906"/>
    </row>
    <row r="3" spans="1:25" s="90" customFormat="1" ht="12.75" customHeight="1" x14ac:dyDescent="0.2">
      <c r="A3" s="138" t="str">
        <f>'20 aiuto iniziale'!A3:B3</f>
        <v>Richiedente</v>
      </c>
      <c r="B3" s="978">
        <f>USM!B3</f>
        <v>0</v>
      </c>
      <c r="C3" s="979"/>
      <c r="D3" s="979"/>
      <c r="E3" s="979"/>
      <c r="F3" s="979"/>
      <c r="G3" s="979"/>
      <c r="H3" s="980"/>
      <c r="I3" s="215"/>
      <c r="J3" s="380" t="s">
        <v>184</v>
      </c>
      <c r="K3" s="381">
        <v>0</v>
      </c>
      <c r="L3" s="382" t="str">
        <f t="shared" ref="L3:L8" si="0">IF($F$7=J3,K3,"")</f>
        <v/>
      </c>
      <c r="M3" s="383">
        <v>0</v>
      </c>
      <c r="N3" s="384">
        <v>0</v>
      </c>
      <c r="O3" s="384">
        <v>0</v>
      </c>
      <c r="P3" s="385">
        <v>0</v>
      </c>
      <c r="Q3" s="385">
        <v>0</v>
      </c>
      <c r="S3" s="906"/>
      <c r="T3" s="906"/>
      <c r="U3" s="906"/>
      <c r="V3" s="906"/>
      <c r="W3" s="906"/>
      <c r="X3" s="906"/>
      <c r="Y3" s="906"/>
    </row>
    <row r="4" spans="1:25" s="20" customFormat="1" ht="12.75" customHeight="1" x14ac:dyDescent="0.2">
      <c r="A4" s="91" t="str">
        <f>'20 aiuto iniziale'!A4:B4</f>
        <v>Comune politico</v>
      </c>
      <c r="B4" s="987">
        <f>USM!B4</f>
        <v>0</v>
      </c>
      <c r="C4" s="1038"/>
      <c r="D4" s="1038"/>
      <c r="E4" s="1038"/>
      <c r="F4" s="1038"/>
      <c r="G4" s="1038"/>
      <c r="H4" s="1039"/>
      <c r="I4" s="551"/>
      <c r="J4" s="386" t="s">
        <v>185</v>
      </c>
      <c r="K4" s="387">
        <f>K6*2</f>
        <v>310000</v>
      </c>
      <c r="L4" s="388" t="str">
        <f t="shared" si="0"/>
        <v/>
      </c>
      <c r="M4" s="389">
        <f t="shared" ref="M4:P5" si="1">M6*2</f>
        <v>3400</v>
      </c>
      <c r="N4" s="387">
        <f t="shared" si="1"/>
        <v>30</v>
      </c>
      <c r="O4" s="387">
        <f t="shared" si="1"/>
        <v>45</v>
      </c>
      <c r="P4" s="390">
        <f t="shared" si="1"/>
        <v>50</v>
      </c>
      <c r="Q4" s="390">
        <v>40</v>
      </c>
      <c r="S4" s="907"/>
      <c r="T4" s="907"/>
      <c r="U4" s="907"/>
      <c r="V4" s="907"/>
      <c r="W4" s="907"/>
      <c r="X4" s="907"/>
      <c r="Y4" s="907"/>
    </row>
    <row r="5" spans="1:25" s="20" customFormat="1" ht="12.75" customHeight="1" x14ac:dyDescent="0.2">
      <c r="A5" s="91" t="str">
        <f>'20 aiuto iniziale'!A5:B5</f>
        <v>N. Cantone</v>
      </c>
      <c r="B5" s="987">
        <f>USM!B5</f>
        <v>0</v>
      </c>
      <c r="C5" s="1038"/>
      <c r="D5" s="1119"/>
      <c r="E5" s="1119"/>
      <c r="F5" s="1119"/>
      <c r="G5" s="1119"/>
      <c r="H5" s="1120"/>
      <c r="J5" s="386" t="s">
        <v>186</v>
      </c>
      <c r="K5" s="387">
        <f>K7*2</f>
        <v>430000</v>
      </c>
      <c r="L5" s="388" t="str">
        <f t="shared" si="0"/>
        <v/>
      </c>
      <c r="M5" s="389">
        <f t="shared" si="1"/>
        <v>5400</v>
      </c>
      <c r="N5" s="387">
        <f t="shared" si="1"/>
        <v>40</v>
      </c>
      <c r="O5" s="387">
        <f t="shared" si="1"/>
        <v>60</v>
      </c>
      <c r="P5" s="390">
        <f t="shared" si="1"/>
        <v>70</v>
      </c>
      <c r="Q5" s="390">
        <v>50</v>
      </c>
      <c r="S5" s="907"/>
      <c r="T5" s="907"/>
      <c r="U5" s="907"/>
      <c r="V5" s="907"/>
      <c r="W5" s="907"/>
      <c r="X5" s="907"/>
      <c r="Y5" s="907"/>
    </row>
    <row r="6" spans="1:25" s="20" customFormat="1" ht="12.75" customHeight="1" x14ac:dyDescent="0.2">
      <c r="A6" s="8" t="str">
        <f>'20 aiuto iniziale'!A6:B6</f>
        <v>N. CSF eMapis</v>
      </c>
      <c r="B6" s="1084">
        <f>USM!B6</f>
        <v>0</v>
      </c>
      <c r="C6" s="1121"/>
      <c r="D6" s="1122" t="s">
        <v>223</v>
      </c>
      <c r="E6" s="1123"/>
      <c r="F6" s="1124"/>
      <c r="G6" s="1125"/>
      <c r="H6" s="1126"/>
      <c r="I6" s="93"/>
      <c r="J6" s="386" t="s">
        <v>187</v>
      </c>
      <c r="K6" s="391">
        <v>155000</v>
      </c>
      <c r="L6" s="388" t="str">
        <f t="shared" si="0"/>
        <v/>
      </c>
      <c r="M6" s="389">
        <v>1700</v>
      </c>
      <c r="N6" s="387">
        <v>15</v>
      </c>
      <c r="O6" s="392">
        <v>22.5</v>
      </c>
      <c r="P6" s="390">
        <v>25</v>
      </c>
      <c r="Q6" s="390">
        <v>20</v>
      </c>
      <c r="S6" s="907"/>
      <c r="T6" s="907"/>
      <c r="U6" s="907"/>
      <c r="V6" s="907"/>
      <c r="W6" s="907"/>
      <c r="X6" s="907"/>
      <c r="Y6" s="907"/>
    </row>
    <row r="7" spans="1:25" s="20" customFormat="1" ht="12.75" customHeight="1" x14ac:dyDescent="0.2">
      <c r="A7" s="91" t="str">
        <f>'20 aiuto iniziale'!A7:B7</f>
        <v>Zone</v>
      </c>
      <c r="B7" s="1133">
        <f>USM!B7</f>
        <v>0</v>
      </c>
      <c r="C7" s="1134"/>
      <c r="D7" s="1130" t="str">
        <f>IF(F7="",T23,T24)</f>
        <v>Definire zona di contribuzione!</v>
      </c>
      <c r="E7" s="1131"/>
      <c r="F7" s="1098"/>
      <c r="G7" s="1098"/>
      <c r="H7" s="1098"/>
      <c r="I7" s="216"/>
      <c r="J7" s="386" t="s">
        <v>188</v>
      </c>
      <c r="K7" s="391">
        <v>215000</v>
      </c>
      <c r="L7" s="388" t="str">
        <f t="shared" si="0"/>
        <v/>
      </c>
      <c r="M7" s="389">
        <v>2700</v>
      </c>
      <c r="N7" s="387">
        <v>20</v>
      </c>
      <c r="O7" s="387">
        <v>30</v>
      </c>
      <c r="P7" s="390">
        <v>35</v>
      </c>
      <c r="Q7" s="390">
        <v>25</v>
      </c>
      <c r="S7" s="907"/>
      <c r="T7" s="907"/>
      <c r="U7" s="907"/>
      <c r="V7" s="907"/>
      <c r="W7" s="907"/>
      <c r="X7" s="907"/>
      <c r="Y7" s="907"/>
    </row>
    <row r="8" spans="1:25" s="20" customFormat="1" ht="12.75" customHeight="1" x14ac:dyDescent="0.2">
      <c r="A8" s="194" t="str">
        <f>'30 abitazione'!A8</f>
        <v>Costi del provvedimento</v>
      </c>
      <c r="B8" s="1082"/>
      <c r="C8" s="1115"/>
      <c r="D8" s="1116"/>
      <c r="E8" s="1116"/>
      <c r="F8" s="1129" t="s">
        <v>159</v>
      </c>
      <c r="G8" s="1129"/>
      <c r="H8" s="469">
        <v>100</v>
      </c>
      <c r="I8" s="217"/>
      <c r="J8" s="373" t="s">
        <v>189</v>
      </c>
      <c r="K8" s="374">
        <f>K7+K6</f>
        <v>370000</v>
      </c>
      <c r="L8" s="160" t="str">
        <f t="shared" si="0"/>
        <v/>
      </c>
      <c r="M8" s="375">
        <f>M7+M6</f>
        <v>4400</v>
      </c>
      <c r="N8" s="374">
        <f>N7+N6</f>
        <v>35</v>
      </c>
      <c r="O8" s="374">
        <f>O7+O6</f>
        <v>52.5</v>
      </c>
      <c r="P8" s="161">
        <f>P7+P6</f>
        <v>60</v>
      </c>
      <c r="Q8" s="161">
        <v>45</v>
      </c>
      <c r="S8" s="907"/>
      <c r="T8" s="907"/>
      <c r="U8" s="907"/>
      <c r="V8" s="907"/>
      <c r="W8" s="907"/>
      <c r="X8" s="907"/>
      <c r="Y8" s="907"/>
    </row>
    <row r="9" spans="1:25" s="20" customFormat="1" ht="12.75" customHeight="1" x14ac:dyDescent="0.2">
      <c r="A9" s="725" t="s">
        <v>127</v>
      </c>
      <c r="B9" s="1030"/>
      <c r="C9" s="1132"/>
      <c r="D9" s="1132"/>
      <c r="E9" s="1132"/>
      <c r="F9" s="1127"/>
      <c r="G9" s="1128"/>
      <c r="H9" s="470"/>
      <c r="I9" s="86"/>
      <c r="J9" s="26"/>
      <c r="K9" s="26"/>
      <c r="L9" s="26"/>
      <c r="M9" s="26"/>
      <c r="N9" s="498"/>
      <c r="O9" s="498"/>
      <c r="P9" s="498"/>
      <c r="Q9" s="498"/>
      <c r="R9" s="498"/>
      <c r="S9" s="907"/>
      <c r="T9" s="907"/>
      <c r="U9" s="907"/>
      <c r="V9" s="907"/>
      <c r="W9" s="907"/>
      <c r="X9" s="907"/>
      <c r="Y9" s="907"/>
    </row>
    <row r="10" spans="1:25" s="84" customFormat="1" ht="12.75" customHeight="1" x14ac:dyDescent="0.2">
      <c r="A10" s="1008"/>
      <c r="B10" s="957"/>
      <c r="C10" s="957"/>
      <c r="D10" s="957"/>
      <c r="E10" s="957"/>
      <c r="F10" s="957"/>
      <c r="G10" s="957"/>
      <c r="H10" s="957"/>
      <c r="I10" s="218"/>
      <c r="N10" s="583"/>
      <c r="O10" s="583"/>
      <c r="P10" s="583"/>
      <c r="Q10" s="583"/>
      <c r="R10" s="583"/>
      <c r="S10" s="908">
        <f>SUM(L3:L8)</f>
        <v>0</v>
      </c>
      <c r="T10" s="909" t="s">
        <v>155</v>
      </c>
      <c r="U10" s="910"/>
      <c r="V10" s="910"/>
      <c r="W10" s="910"/>
      <c r="X10" s="910"/>
      <c r="Y10" s="910"/>
    </row>
    <row r="11" spans="1:25" s="23" customFormat="1" ht="35.25" customHeight="1" x14ac:dyDescent="0.2">
      <c r="A11" s="818" t="s">
        <v>156</v>
      </c>
      <c r="B11" s="819" t="s">
        <v>62</v>
      </c>
      <c r="C11" s="820" t="s">
        <v>63</v>
      </c>
      <c r="D11" s="821" t="s">
        <v>148</v>
      </c>
      <c r="E11" s="821" t="s">
        <v>157</v>
      </c>
      <c r="F11" s="820" t="s">
        <v>158</v>
      </c>
      <c r="G11" s="821" t="s">
        <v>142</v>
      </c>
      <c r="H11" s="822" t="s">
        <v>138</v>
      </c>
      <c r="J11" s="513"/>
      <c r="K11" s="84"/>
      <c r="L11" s="84"/>
      <c r="M11" s="84"/>
      <c r="N11" s="583"/>
      <c r="O11" s="583"/>
      <c r="P11" s="583"/>
      <c r="Q11" s="583"/>
      <c r="R11" s="583"/>
      <c r="S11" s="908"/>
      <c r="T11" s="909"/>
      <c r="U11" s="911"/>
      <c r="V11" s="911"/>
      <c r="W11" s="911"/>
      <c r="X11" s="911"/>
      <c r="Y11" s="911"/>
    </row>
    <row r="12" spans="1:25" s="84" customFormat="1" ht="12.75" customHeight="1" x14ac:dyDescent="0.2">
      <c r="A12" s="830" t="s">
        <v>168</v>
      </c>
      <c r="B12" s="117" t="s">
        <v>3</v>
      </c>
      <c r="C12" s="683"/>
      <c r="D12" s="683"/>
      <c r="E12" s="149" t="str">
        <f>IF($F$7="","",(VLOOKUP($F$7,$J$3:$M$8,4,FALSE)))</f>
        <v/>
      </c>
      <c r="F12" s="711">
        <f>IF(C12="",0,C12*(100-D12)/100*E12)</f>
        <v>0</v>
      </c>
      <c r="G12" s="195">
        <v>6000</v>
      </c>
      <c r="H12" s="711">
        <f>C12*(100-D12)/100*G12</f>
        <v>0</v>
      </c>
      <c r="I12" s="89"/>
      <c r="N12" s="583"/>
      <c r="O12" s="583"/>
      <c r="P12" s="583"/>
      <c r="Q12" s="583"/>
      <c r="R12" s="583"/>
      <c r="S12" s="908"/>
      <c r="T12" s="909"/>
      <c r="U12" s="910"/>
      <c r="V12" s="910"/>
      <c r="W12" s="910"/>
      <c r="X12" s="910"/>
      <c r="Y12" s="910"/>
    </row>
    <row r="13" spans="1:25" s="84" customFormat="1" ht="12.75" customHeight="1" x14ac:dyDescent="0.2">
      <c r="A13" s="121" t="s">
        <v>168</v>
      </c>
      <c r="B13" s="117" t="s">
        <v>3</v>
      </c>
      <c r="C13" s="683"/>
      <c r="D13" s="683"/>
      <c r="E13" s="149" t="str">
        <f>IF($F$7="","",(VLOOKUP($F$7,$J$3:$M$8,4,FALSE)))</f>
        <v/>
      </c>
      <c r="F13" s="711">
        <f>IF(C13="",0,C13*(100-D13)/100*E13)</f>
        <v>0</v>
      </c>
      <c r="G13" s="195">
        <v>6000</v>
      </c>
      <c r="H13" s="711">
        <f>C13*(100-D13)/100*G13</f>
        <v>0</v>
      </c>
      <c r="I13" s="89"/>
      <c r="N13" s="583"/>
      <c r="O13" s="583"/>
      <c r="P13" s="583"/>
      <c r="Q13" s="583"/>
      <c r="R13" s="583"/>
      <c r="S13" s="908"/>
      <c r="T13" s="909"/>
      <c r="U13" s="910"/>
      <c r="V13" s="910"/>
      <c r="W13" s="910"/>
      <c r="X13" s="910"/>
      <c r="Y13" s="910"/>
    </row>
    <row r="14" spans="1:25" s="84" customFormat="1" x14ac:dyDescent="0.2">
      <c r="A14" s="116" t="s">
        <v>169</v>
      </c>
      <c r="B14" s="117" t="s">
        <v>11</v>
      </c>
      <c r="C14" s="683"/>
      <c r="D14" s="683"/>
      <c r="E14" s="149" t="str">
        <f>IF($F$7="","",(VLOOKUP($F$7,$J$3:$N$8,5,FALSE)))</f>
        <v/>
      </c>
      <c r="F14" s="711">
        <f>IF(C14="",0,C14*(100-D14)/100*E14)</f>
        <v>0</v>
      </c>
      <c r="G14" s="149">
        <v>90</v>
      </c>
      <c r="H14" s="711">
        <f>C14*(100-D14)/100*G14</f>
        <v>0</v>
      </c>
      <c r="I14" s="89"/>
      <c r="J14" s="20"/>
      <c r="K14" s="20"/>
      <c r="L14" s="94"/>
      <c r="M14" s="94"/>
      <c r="N14" s="499"/>
      <c r="O14" s="499"/>
      <c r="P14" s="499"/>
      <c r="Q14" s="499"/>
      <c r="R14" s="499"/>
      <c r="S14" s="908"/>
      <c r="T14" s="909"/>
      <c r="U14" s="910"/>
      <c r="V14" s="910"/>
      <c r="W14" s="910"/>
      <c r="X14" s="910"/>
      <c r="Y14" s="910"/>
    </row>
    <row r="15" spans="1:25" s="20" customFormat="1" x14ac:dyDescent="0.2">
      <c r="A15" s="116" t="s">
        <v>170</v>
      </c>
      <c r="B15" s="117" t="s">
        <v>11</v>
      </c>
      <c r="C15" s="683"/>
      <c r="D15" s="683"/>
      <c r="E15" s="149" t="str">
        <f>IF($F$7="","",(VLOOKUP($F$7,$J$3:$O$8,6,FALSE)))</f>
        <v/>
      </c>
      <c r="F15" s="711">
        <f>IF(C15="",0,C15*(100-D15)/100*E15)</f>
        <v>0</v>
      </c>
      <c r="G15" s="149">
        <v>110</v>
      </c>
      <c r="H15" s="711">
        <f>C15*(100-D15)/100*G15</f>
        <v>0</v>
      </c>
      <c r="I15" s="70"/>
      <c r="J15" s="157"/>
      <c r="K15" s="157"/>
      <c r="L15" s="715"/>
      <c r="M15" s="715"/>
      <c r="N15" s="499"/>
      <c r="O15" s="499"/>
      <c r="P15" s="499"/>
      <c r="Q15" s="499"/>
      <c r="R15" s="499"/>
      <c r="S15" s="912">
        <v>1000000</v>
      </c>
      <c r="T15" s="913" t="s">
        <v>152</v>
      </c>
      <c r="U15" s="914"/>
      <c r="V15" s="907"/>
      <c r="W15" s="907"/>
      <c r="X15" s="907"/>
      <c r="Y15" s="907"/>
    </row>
    <row r="16" spans="1:25" s="20" customFormat="1" x14ac:dyDescent="0.2">
      <c r="A16" s="398" t="s">
        <v>171</v>
      </c>
      <c r="B16" s="399" t="s">
        <v>12</v>
      </c>
      <c r="C16" s="684"/>
      <c r="D16" s="684"/>
      <c r="E16" s="196" t="str">
        <f>IF($F$7="","",(VLOOKUP($F$7,$J$3:$P$8,7,FALSE)))</f>
        <v/>
      </c>
      <c r="F16" s="712">
        <f>IF(C16="",0,C16*(100-D16)/100*E16)</f>
        <v>0</v>
      </c>
      <c r="G16" s="196">
        <v>190</v>
      </c>
      <c r="H16" s="712">
        <f>C16*(100-D16)/100*G16</f>
        <v>0</v>
      </c>
      <c r="I16" s="197"/>
      <c r="J16" s="26"/>
      <c r="K16" s="26"/>
      <c r="L16" s="594"/>
      <c r="M16" s="84"/>
      <c r="N16" s="84"/>
      <c r="O16" s="84"/>
      <c r="P16" s="84"/>
      <c r="Q16" s="84"/>
      <c r="R16" s="84"/>
      <c r="S16" s="915">
        <f>ROUNDDOWN(B9*5,-5)/5</f>
        <v>0</v>
      </c>
      <c r="T16" s="916" t="s">
        <v>153</v>
      </c>
      <c r="U16" s="907"/>
      <c r="V16" s="907"/>
      <c r="W16" s="907"/>
      <c r="X16" s="907"/>
      <c r="Y16" s="907"/>
    </row>
    <row r="17" spans="1:25" s="20" customFormat="1" x14ac:dyDescent="0.2">
      <c r="A17" s="404" t="s">
        <v>172</v>
      </c>
      <c r="B17" s="395"/>
      <c r="C17" s="635"/>
      <c r="D17" s="635"/>
      <c r="E17" s="396"/>
      <c r="F17" s="198">
        <f>ROUNDDOWN(SUM(F12:F16),0)</f>
        <v>0</v>
      </c>
      <c r="G17" s="397"/>
      <c r="H17" s="717"/>
      <c r="I17" s="197"/>
      <c r="J17" s="26"/>
      <c r="K17" s="26"/>
      <c r="L17" s="84"/>
      <c r="M17" s="84"/>
      <c r="N17" s="84"/>
      <c r="O17" s="84"/>
      <c r="P17" s="84"/>
      <c r="Q17" s="84"/>
      <c r="R17" s="84"/>
      <c r="S17" s="917">
        <f>IF(S16&gt;S15,(S15-S16)/4,0)</f>
        <v>0</v>
      </c>
      <c r="T17" s="918" t="s">
        <v>154</v>
      </c>
      <c r="U17" s="907"/>
      <c r="V17" s="907"/>
      <c r="W17" s="907"/>
      <c r="X17" s="907"/>
      <c r="Y17" s="907"/>
    </row>
    <row r="18" spans="1:25" s="20" customFormat="1" x14ac:dyDescent="0.2">
      <c r="A18" s="404" t="s">
        <v>173</v>
      </c>
      <c r="B18" s="395"/>
      <c r="C18" s="635"/>
      <c r="D18" s="635"/>
      <c r="E18" s="396"/>
      <c r="F18" s="198">
        <f>IF(G6="",IF(F17&gt;S10,F17-S10,0),IF(F17&gt;S10*G6,F17-S10*G6,0))</f>
        <v>0</v>
      </c>
      <c r="G18" s="397"/>
      <c r="H18" s="198"/>
      <c r="I18" s="197"/>
      <c r="J18" s="26"/>
      <c r="K18" s="26"/>
      <c r="L18" s="84"/>
      <c r="M18" s="84"/>
      <c r="N18" s="84"/>
      <c r="O18" s="84"/>
      <c r="P18" s="84"/>
      <c r="Q18" s="84"/>
      <c r="R18" s="84"/>
      <c r="S18" s="919"/>
      <c r="T18" s="920"/>
      <c r="U18" s="907"/>
      <c r="V18" s="907"/>
      <c r="W18" s="907"/>
      <c r="X18" s="907"/>
      <c r="Y18" s="907"/>
    </row>
    <row r="19" spans="1:25" s="26" customFormat="1" ht="12.75" customHeight="1" x14ac:dyDescent="0.2">
      <c r="A19" s="118" t="s">
        <v>135</v>
      </c>
      <c r="B19" s="119"/>
      <c r="C19" s="119"/>
      <c r="D19" s="119"/>
      <c r="E19" s="394" t="str">
        <f>IF(F19&gt;SUM(F12:F16,-1),"","Kürzung auf max. Beitrag je Betrieb")</f>
        <v/>
      </c>
      <c r="F19" s="120">
        <f>F17-F18</f>
        <v>0</v>
      </c>
      <c r="G19" s="120"/>
      <c r="H19" s="120">
        <f>ROUNDDOWN(SUM(H12:H16),0)</f>
        <v>0</v>
      </c>
      <c r="I19" s="69"/>
      <c r="L19" s="84"/>
      <c r="M19" s="84"/>
      <c r="N19" s="84"/>
      <c r="O19" s="84"/>
      <c r="P19" s="84"/>
      <c r="Q19" s="84"/>
      <c r="R19" s="84"/>
      <c r="S19" s="921"/>
      <c r="T19" s="922" t="s">
        <v>271</v>
      </c>
      <c r="U19" s="921"/>
      <c r="V19" s="921"/>
      <c r="W19" s="921"/>
      <c r="X19" s="921"/>
      <c r="Y19" s="921"/>
    </row>
    <row r="20" spans="1:25" s="26" customFormat="1" ht="12.75" customHeight="1" x14ac:dyDescent="0.2">
      <c r="A20" s="122" t="s">
        <v>174</v>
      </c>
      <c r="B20" s="123" t="s">
        <v>1</v>
      </c>
      <c r="C20" s="457"/>
      <c r="D20" s="124" t="str">
        <f>IF($F$7="","",(VLOOKUP($F$7,$J$3:$Q$8,8,FALSE)))</f>
        <v/>
      </c>
      <c r="E20" s="125" t="s">
        <v>4</v>
      </c>
      <c r="F20" s="711">
        <f>IF(C20="",0,ROUNDDOWN(C20*D20/100,0))</f>
        <v>0</v>
      </c>
      <c r="G20" s="752">
        <f>IF(C20=0,0,IF(C20&gt;0,(F20*100)/F19))</f>
        <v>0</v>
      </c>
      <c r="H20" s="400" t="s">
        <v>4</v>
      </c>
      <c r="I20" s="69"/>
      <c r="J20" s="20"/>
      <c r="K20" s="20"/>
      <c r="L20" s="94"/>
      <c r="M20" s="94"/>
      <c r="N20" s="94"/>
      <c r="O20" s="94"/>
      <c r="P20" s="94"/>
      <c r="Q20" s="94"/>
      <c r="R20" s="94"/>
      <c r="S20" s="921"/>
      <c r="T20" s="916" t="s">
        <v>149</v>
      </c>
      <c r="U20" s="921"/>
      <c r="V20" s="921"/>
      <c r="W20" s="921"/>
      <c r="X20" s="921"/>
      <c r="Y20" s="921"/>
    </row>
    <row r="21" spans="1:25" s="20" customFormat="1" x14ac:dyDescent="0.2">
      <c r="A21" s="1106"/>
      <c r="B21" s="1107"/>
      <c r="C21" s="1107"/>
      <c r="D21" s="1107"/>
      <c r="E21" s="1108"/>
      <c r="F21" s="198"/>
      <c r="G21" s="1109"/>
      <c r="H21" s="1110"/>
      <c r="I21" s="69"/>
      <c r="J21" s="94"/>
      <c r="K21" s="94"/>
      <c r="L21" s="94"/>
      <c r="M21" s="94"/>
      <c r="N21" s="94"/>
      <c r="O21" s="94"/>
      <c r="P21" s="94"/>
      <c r="Q21" s="94"/>
      <c r="R21" s="94"/>
      <c r="S21" s="907"/>
      <c r="T21" s="916" t="s">
        <v>150</v>
      </c>
      <c r="U21" s="907"/>
      <c r="V21" s="907"/>
      <c r="W21" s="907"/>
      <c r="X21" s="907"/>
      <c r="Y21" s="907"/>
    </row>
    <row r="22" spans="1:25" s="20" customFormat="1" ht="15" customHeight="1" x14ac:dyDescent="0.2">
      <c r="A22" s="1112" t="s">
        <v>175</v>
      </c>
      <c r="B22" s="1113"/>
      <c r="C22" s="1113"/>
      <c r="D22" s="1113"/>
      <c r="E22" s="1114"/>
      <c r="F22" s="716">
        <f>IF(F19&gt;0,S17,0)</f>
        <v>0</v>
      </c>
      <c r="G22" s="1109"/>
      <c r="H22" s="1111"/>
      <c r="I22" s="197"/>
      <c r="J22" s="94"/>
      <c r="K22" s="94"/>
      <c r="L22" s="94"/>
      <c r="M22" s="94"/>
      <c r="N22" s="94"/>
      <c r="O22" s="94"/>
      <c r="P22" s="94"/>
      <c r="Q22" s="94"/>
      <c r="R22" s="94"/>
      <c r="S22" s="907"/>
      <c r="T22" s="916" t="s">
        <v>151</v>
      </c>
      <c r="U22" s="907"/>
      <c r="V22" s="907"/>
      <c r="W22" s="907"/>
      <c r="X22" s="907"/>
      <c r="Y22" s="907"/>
    </row>
    <row r="23" spans="1:25" s="20" customFormat="1" ht="15" customHeight="1" x14ac:dyDescent="0.2">
      <c r="A23" s="1099" t="s">
        <v>176</v>
      </c>
      <c r="B23" s="1099"/>
      <c r="C23" s="1099"/>
      <c r="D23" s="1099"/>
      <c r="E23" s="1099"/>
      <c r="F23" s="453"/>
      <c r="G23" s="150"/>
      <c r="H23" s="454"/>
      <c r="I23" s="69"/>
      <c r="J23" s="84"/>
      <c r="K23" s="84"/>
      <c r="L23" s="84"/>
      <c r="M23" s="84"/>
      <c r="N23" s="84"/>
      <c r="O23" s="84"/>
      <c r="P23" s="84"/>
      <c r="Q23" s="84"/>
      <c r="R23" s="84"/>
      <c r="S23" s="907"/>
      <c r="T23" s="916" t="s">
        <v>160</v>
      </c>
      <c r="U23" s="907"/>
      <c r="V23" s="907"/>
      <c r="W23" s="907"/>
      <c r="X23" s="907"/>
      <c r="Y23" s="907"/>
    </row>
    <row r="24" spans="1:25" s="157" customFormat="1" ht="12.75" customHeight="1" x14ac:dyDescent="0.2">
      <c r="A24" s="1100" t="s">
        <v>137</v>
      </c>
      <c r="B24" s="1100"/>
      <c r="C24" s="1100"/>
      <c r="D24" s="1100"/>
      <c r="E24" s="1100"/>
      <c r="F24" s="199">
        <f>IF(F25="",0,F26+F25)</f>
        <v>0</v>
      </c>
      <c r="G24" s="151"/>
      <c r="H24" s="200">
        <f>ROUNDDOWN(H19+H23,0)</f>
        <v>0</v>
      </c>
      <c r="I24" s="197"/>
      <c r="J24" s="94"/>
      <c r="K24" s="581"/>
      <c r="L24" s="94"/>
      <c r="M24" s="94"/>
      <c r="N24" s="94"/>
      <c r="O24" s="94"/>
      <c r="P24" s="94"/>
      <c r="Q24" s="94"/>
      <c r="R24" s="94"/>
      <c r="S24" s="923"/>
      <c r="T24" s="916" t="s">
        <v>161</v>
      </c>
      <c r="U24" s="923"/>
      <c r="V24" s="923"/>
      <c r="W24" s="923"/>
      <c r="X24" s="923"/>
      <c r="Y24" s="923"/>
    </row>
    <row r="25" spans="1:25" s="71" customFormat="1" ht="12" customHeight="1" x14ac:dyDescent="0.2">
      <c r="A25" s="1101" t="s">
        <v>177</v>
      </c>
      <c r="B25" s="118" t="s">
        <v>178</v>
      </c>
      <c r="C25" s="119"/>
      <c r="D25" s="119"/>
      <c r="E25" s="831"/>
      <c r="F25" s="120">
        <f>IF(F19=0,0,IF(ROUNDDOWN((F19/2+F20+F22+F23),0)&gt;0,ROUNDDOWN((F19/2+F20+F22+F23),0),0))</f>
        <v>0</v>
      </c>
      <c r="G25" s="152"/>
      <c r="H25" s="153"/>
      <c r="I25" s="69"/>
      <c r="J25" s="94"/>
      <c r="K25" s="582"/>
      <c r="L25" s="94"/>
      <c r="M25" s="94"/>
      <c r="N25" s="94"/>
      <c r="O25" s="94"/>
      <c r="P25" s="94"/>
      <c r="Q25" s="94"/>
      <c r="R25" s="94"/>
      <c r="S25" s="924"/>
      <c r="T25" s="924"/>
      <c r="U25" s="924"/>
      <c r="V25" s="924"/>
      <c r="W25" s="924"/>
      <c r="X25" s="924"/>
      <c r="Y25" s="924"/>
    </row>
    <row r="26" spans="1:25" s="26" customFormat="1" ht="12.75" customHeight="1" x14ac:dyDescent="0.2">
      <c r="A26" s="1102"/>
      <c r="B26" s="1103" t="s">
        <v>179</v>
      </c>
      <c r="C26" s="1103"/>
      <c r="D26" s="1103"/>
      <c r="E26" s="1103"/>
      <c r="F26" s="201">
        <f>IF(F25="",0,F25-F20)</f>
        <v>0</v>
      </c>
      <c r="G26" s="154"/>
      <c r="H26" s="155"/>
      <c r="I26" s="197"/>
      <c r="J26" s="94"/>
      <c r="K26" s="582"/>
      <c r="L26" s="94"/>
      <c r="M26" s="94"/>
      <c r="N26" s="94"/>
      <c r="O26" s="94"/>
      <c r="P26" s="94"/>
      <c r="Q26" s="94"/>
      <c r="R26" s="94"/>
      <c r="S26" s="921"/>
      <c r="T26" s="921"/>
      <c r="U26" s="921"/>
      <c r="V26" s="921"/>
      <c r="W26" s="921"/>
      <c r="X26" s="921"/>
      <c r="Y26" s="921"/>
    </row>
    <row r="27" spans="1:25" s="26" customFormat="1" ht="12.75" customHeight="1" x14ac:dyDescent="0.2">
      <c r="A27" s="84"/>
      <c r="B27" s="90"/>
      <c r="C27" s="5"/>
      <c r="D27" s="156"/>
      <c r="E27" s="202"/>
      <c r="F27" s="203"/>
      <c r="G27" s="110"/>
      <c r="H27" s="203"/>
      <c r="I27" s="69"/>
      <c r="J27" s="94"/>
      <c r="K27" s="94"/>
      <c r="L27" s="94"/>
      <c r="M27" s="94"/>
      <c r="N27" s="94"/>
      <c r="O27" s="94"/>
      <c r="P27" s="94"/>
      <c r="Q27" s="94"/>
      <c r="R27" s="94"/>
      <c r="S27" s="921"/>
      <c r="T27" s="921"/>
      <c r="U27" s="921"/>
      <c r="V27" s="921"/>
      <c r="W27" s="921"/>
      <c r="X27" s="921"/>
      <c r="Y27" s="921"/>
    </row>
    <row r="28" spans="1:25" s="84" customFormat="1" ht="12.75" customHeight="1" x14ac:dyDescent="0.2">
      <c r="A28" s="1062" t="s">
        <v>83</v>
      </c>
      <c r="B28" s="1104"/>
      <c r="C28" s="1104"/>
      <c r="D28" s="1104"/>
      <c r="E28" s="1104"/>
      <c r="F28" s="1104"/>
      <c r="G28" s="1104"/>
      <c r="H28" s="1105"/>
      <c r="I28" s="197"/>
      <c r="J28" s="94"/>
      <c r="K28" s="94"/>
      <c r="L28" s="94"/>
      <c r="M28" s="94"/>
      <c r="N28" s="94"/>
      <c r="O28" s="94"/>
      <c r="P28" s="94"/>
      <c r="Q28" s="94"/>
      <c r="R28" s="94"/>
      <c r="S28" s="910"/>
      <c r="T28" s="910"/>
      <c r="U28" s="910"/>
      <c r="V28" s="910"/>
      <c r="W28" s="910"/>
      <c r="X28" s="910"/>
      <c r="Y28" s="910"/>
    </row>
    <row r="29" spans="1:25" s="84" customFormat="1" ht="12.75" customHeight="1" x14ac:dyDescent="0.2">
      <c r="A29" s="1089"/>
      <c r="B29" s="1090"/>
      <c r="C29" s="1090"/>
      <c r="D29" s="1090"/>
      <c r="E29" s="1090"/>
      <c r="F29" s="1090"/>
      <c r="G29" s="1090"/>
      <c r="H29" s="1091"/>
      <c r="I29" s="69"/>
      <c r="J29" s="94"/>
      <c r="K29" s="94"/>
      <c r="L29" s="94"/>
      <c r="M29" s="94"/>
      <c r="N29" s="94"/>
      <c r="O29" s="94"/>
      <c r="P29" s="94"/>
      <c r="Q29" s="94"/>
      <c r="R29" s="94"/>
      <c r="S29" s="910"/>
      <c r="T29" s="910"/>
      <c r="U29" s="910"/>
      <c r="V29" s="910"/>
      <c r="W29" s="910"/>
      <c r="X29" s="910"/>
      <c r="Y29" s="910"/>
    </row>
    <row r="30" spans="1:25" s="84" customFormat="1" ht="12.75" customHeight="1" x14ac:dyDescent="0.2">
      <c r="A30" s="1092"/>
      <c r="B30" s="1090"/>
      <c r="C30" s="1090"/>
      <c r="D30" s="1090"/>
      <c r="E30" s="1090"/>
      <c r="F30" s="1090"/>
      <c r="G30" s="1090"/>
      <c r="H30" s="1091"/>
      <c r="I30" s="197"/>
      <c r="J30" s="94"/>
      <c r="K30" s="94"/>
      <c r="L30" s="94"/>
      <c r="M30" s="94"/>
      <c r="N30" s="94"/>
      <c r="O30" s="94"/>
      <c r="P30" s="94"/>
      <c r="Q30" s="94"/>
      <c r="R30" s="94"/>
      <c r="S30" s="910"/>
      <c r="T30" s="910"/>
      <c r="U30" s="910"/>
      <c r="V30" s="910"/>
      <c r="W30" s="910"/>
      <c r="X30" s="910"/>
      <c r="Y30" s="910"/>
    </row>
    <row r="31" spans="1:25" s="84" customFormat="1" ht="12.75" customHeight="1" x14ac:dyDescent="0.2">
      <c r="A31" s="1092"/>
      <c r="B31" s="1090"/>
      <c r="C31" s="1090"/>
      <c r="D31" s="1090"/>
      <c r="E31" s="1090"/>
      <c r="F31" s="1090"/>
      <c r="G31" s="1090"/>
      <c r="H31" s="1091"/>
      <c r="I31" s="69"/>
      <c r="J31" s="94"/>
      <c r="K31" s="94"/>
      <c r="L31" s="94"/>
      <c r="M31" s="94"/>
      <c r="N31" s="94"/>
      <c r="O31" s="94"/>
      <c r="P31" s="94"/>
      <c r="Q31" s="94"/>
      <c r="R31" s="94"/>
      <c r="S31" s="910"/>
      <c r="T31" s="910"/>
      <c r="U31" s="910"/>
      <c r="V31" s="910"/>
      <c r="W31" s="910"/>
      <c r="X31" s="910"/>
      <c r="Y31" s="910"/>
    </row>
    <row r="32" spans="1:25" s="20" customFormat="1" ht="18" customHeight="1" x14ac:dyDescent="0.2">
      <c r="A32" s="1092"/>
      <c r="B32" s="1090"/>
      <c r="C32" s="1090"/>
      <c r="D32" s="1090"/>
      <c r="E32" s="1090"/>
      <c r="F32" s="1090"/>
      <c r="G32" s="1090"/>
      <c r="H32" s="1091"/>
      <c r="I32" s="197"/>
      <c r="J32" s="17"/>
      <c r="K32" s="112"/>
      <c r="L32" s="42"/>
      <c r="M32" s="42"/>
      <c r="N32" s="42"/>
      <c r="O32" s="42"/>
      <c r="P32" s="42"/>
      <c r="Q32" s="84"/>
      <c r="R32" s="84"/>
      <c r="S32" s="925"/>
      <c r="T32" s="925"/>
      <c r="U32" s="925"/>
      <c r="V32" s="907"/>
      <c r="W32" s="907"/>
      <c r="X32" s="907"/>
      <c r="Y32" s="907"/>
    </row>
    <row r="33" spans="1:25" s="157" customFormat="1" ht="12.75" customHeight="1" x14ac:dyDescent="0.2">
      <c r="A33" s="1092"/>
      <c r="B33" s="1090"/>
      <c r="C33" s="1090"/>
      <c r="D33" s="1090"/>
      <c r="E33" s="1090"/>
      <c r="F33" s="1090"/>
      <c r="G33" s="1090"/>
      <c r="H33" s="1091"/>
      <c r="I33" s="69"/>
      <c r="J33" s="17"/>
      <c r="K33" s="112"/>
      <c r="L33" s="17"/>
      <c r="M33" s="17"/>
      <c r="N33" s="17"/>
      <c r="O33" s="17"/>
      <c r="P33" s="17"/>
      <c r="Q33" s="17"/>
      <c r="R33" s="17"/>
      <c r="S33" s="926"/>
      <c r="T33" s="926"/>
      <c r="U33" s="926"/>
      <c r="V33" s="923"/>
      <c r="W33" s="923"/>
      <c r="X33" s="923"/>
      <c r="Y33" s="923"/>
    </row>
    <row r="34" spans="1:25" s="26" customFormat="1" ht="12.75" customHeight="1" x14ac:dyDescent="0.2">
      <c r="A34" s="1092"/>
      <c r="B34" s="1090"/>
      <c r="C34" s="1090"/>
      <c r="D34" s="1090"/>
      <c r="E34" s="1090"/>
      <c r="F34" s="1090"/>
      <c r="G34" s="1090"/>
      <c r="H34" s="1091"/>
      <c r="I34" s="197"/>
      <c r="J34" s="17"/>
      <c r="K34" s="112"/>
      <c r="L34" s="17"/>
      <c r="M34" s="17"/>
      <c r="N34" s="17"/>
      <c r="O34" s="17"/>
      <c r="P34" s="17"/>
      <c r="Q34" s="17"/>
      <c r="R34" s="17"/>
      <c r="S34" s="910"/>
      <c r="T34" s="910"/>
      <c r="U34" s="910"/>
      <c r="V34" s="921"/>
      <c r="W34" s="921"/>
      <c r="X34" s="921"/>
      <c r="Y34" s="921"/>
    </row>
    <row r="35" spans="1:25" s="26" customFormat="1" ht="12.75" customHeight="1" x14ac:dyDescent="0.2">
      <c r="A35" s="1093"/>
      <c r="B35" s="1094"/>
      <c r="C35" s="1094"/>
      <c r="D35" s="1094"/>
      <c r="E35" s="1094"/>
      <c r="F35" s="1094"/>
      <c r="G35" s="1094"/>
      <c r="H35" s="1095"/>
      <c r="I35" s="69"/>
      <c r="J35" s="17"/>
      <c r="K35" s="112"/>
      <c r="L35" s="17"/>
      <c r="M35" s="17"/>
      <c r="N35" s="17"/>
      <c r="O35" s="17"/>
      <c r="P35" s="17"/>
      <c r="Q35" s="17"/>
      <c r="R35" s="17"/>
      <c r="S35" s="910"/>
      <c r="T35" s="910"/>
      <c r="U35" s="910"/>
      <c r="V35" s="921"/>
      <c r="W35" s="921"/>
      <c r="X35" s="921"/>
      <c r="Y35" s="921"/>
    </row>
    <row r="36" spans="1:25" s="26" customFormat="1" ht="12.75" customHeight="1" x14ac:dyDescent="0.2">
      <c r="A36" s="1096"/>
      <c r="B36" s="1097"/>
      <c r="C36" s="1097"/>
      <c r="D36" s="1097"/>
      <c r="E36" s="1097"/>
      <c r="F36" s="1097"/>
      <c r="G36" s="1097"/>
      <c r="H36" s="1097"/>
      <c r="I36" s="88"/>
      <c r="J36" s="17"/>
      <c r="K36" s="112"/>
      <c r="L36" s="17"/>
      <c r="M36" s="17"/>
      <c r="N36" s="17"/>
      <c r="O36" s="17"/>
      <c r="P36" s="17"/>
      <c r="Q36" s="17"/>
      <c r="R36" s="17"/>
      <c r="S36" s="910"/>
      <c r="T36" s="910"/>
      <c r="U36" s="910"/>
      <c r="V36" s="921"/>
      <c r="W36" s="921"/>
      <c r="X36" s="921"/>
      <c r="Y36" s="921"/>
    </row>
    <row r="37" spans="1:25" s="26" customFormat="1" ht="12.75" customHeight="1" x14ac:dyDescent="0.2">
      <c r="A37" s="17"/>
      <c r="B37" s="17"/>
      <c r="C37" s="17"/>
      <c r="D37" s="17"/>
      <c r="E37" s="17"/>
      <c r="F37" s="17"/>
      <c r="G37" s="17"/>
      <c r="H37" s="17"/>
      <c r="I37" s="69"/>
      <c r="J37" s="17"/>
      <c r="K37" s="112"/>
      <c r="L37" s="17"/>
      <c r="M37" s="17"/>
      <c r="N37" s="17"/>
      <c r="O37" s="17"/>
      <c r="P37" s="17"/>
      <c r="Q37" s="17"/>
      <c r="R37" s="17"/>
      <c r="S37" s="910"/>
      <c r="T37" s="910"/>
      <c r="U37" s="910"/>
      <c r="V37" s="921"/>
      <c r="W37" s="921"/>
      <c r="X37" s="921"/>
      <c r="Y37" s="921"/>
    </row>
    <row r="38" spans="1:25" s="20" customFormat="1" ht="18" customHeight="1" x14ac:dyDescent="0.2">
      <c r="A38" s="17"/>
      <c r="B38" s="17"/>
      <c r="C38" s="17"/>
      <c r="D38" s="17"/>
      <c r="E38" s="17"/>
      <c r="F38" s="17"/>
      <c r="G38" s="17"/>
      <c r="H38" s="17"/>
      <c r="I38" s="88"/>
      <c r="J38" s="17"/>
      <c r="K38" s="112"/>
      <c r="L38" s="17"/>
      <c r="M38" s="17"/>
      <c r="N38" s="17"/>
      <c r="O38" s="17"/>
      <c r="P38" s="17"/>
      <c r="Q38" s="17"/>
      <c r="R38" s="17"/>
      <c r="S38" s="925"/>
      <c r="T38" s="925"/>
      <c r="U38" s="925"/>
      <c r="V38" s="907"/>
      <c r="W38" s="907"/>
      <c r="X38" s="907"/>
      <c r="Y38" s="907"/>
    </row>
    <row r="39" spans="1:25" s="94" customFormat="1" ht="15" customHeight="1" x14ac:dyDescent="0.2">
      <c r="A39" s="17"/>
      <c r="B39" s="17"/>
      <c r="C39" s="17"/>
      <c r="D39" s="17"/>
      <c r="E39" s="17"/>
      <c r="F39" s="17"/>
      <c r="G39" s="17"/>
      <c r="H39" s="17"/>
      <c r="I39" s="69"/>
      <c r="J39" s="17"/>
      <c r="K39" s="112"/>
      <c r="L39" s="17"/>
      <c r="M39" s="17"/>
      <c r="N39" s="17"/>
      <c r="O39" s="17"/>
      <c r="P39" s="17"/>
      <c r="Q39" s="17"/>
      <c r="R39" s="17"/>
      <c r="S39" s="925"/>
      <c r="T39" s="925"/>
      <c r="U39" s="925"/>
      <c r="V39" s="925"/>
      <c r="W39" s="925"/>
      <c r="X39" s="925"/>
      <c r="Y39" s="925"/>
    </row>
    <row r="40" spans="1:25" s="94" customFormat="1" ht="15" customHeight="1" x14ac:dyDescent="0.2">
      <c r="A40" s="17"/>
      <c r="B40" s="17"/>
      <c r="C40" s="17"/>
      <c r="D40" s="17"/>
      <c r="E40" s="17"/>
      <c r="F40" s="17"/>
      <c r="G40" s="17"/>
      <c r="H40" s="17"/>
      <c r="I40" s="88"/>
      <c r="J40" s="17"/>
      <c r="K40" s="112"/>
      <c r="L40" s="17"/>
      <c r="M40" s="17"/>
      <c r="N40" s="17"/>
      <c r="O40" s="17"/>
      <c r="P40" s="17"/>
      <c r="Q40" s="17"/>
      <c r="R40" s="17"/>
      <c r="S40" s="925"/>
      <c r="T40" s="925"/>
      <c r="U40" s="925"/>
      <c r="V40" s="925"/>
      <c r="W40" s="925"/>
      <c r="X40" s="925"/>
      <c r="Y40" s="925"/>
    </row>
    <row r="41" spans="1:25" s="84" customFormat="1" ht="19.899999999999999" customHeight="1" x14ac:dyDescent="0.2">
      <c r="A41" s="17"/>
      <c r="B41" s="17"/>
      <c r="C41" s="17"/>
      <c r="D41" s="17"/>
      <c r="E41" s="17"/>
      <c r="F41" s="17"/>
      <c r="G41" s="17"/>
      <c r="H41" s="17"/>
      <c r="I41" s="69"/>
      <c r="J41" s="17"/>
      <c r="K41" s="112"/>
      <c r="L41" s="17"/>
      <c r="M41" s="17"/>
      <c r="N41" s="17"/>
      <c r="O41" s="17"/>
      <c r="P41" s="17"/>
      <c r="Q41" s="17"/>
      <c r="R41" s="17"/>
      <c r="S41" s="910"/>
      <c r="T41" s="910"/>
      <c r="U41" s="910"/>
      <c r="V41" s="910"/>
      <c r="W41" s="910"/>
      <c r="X41" s="910"/>
      <c r="Y41" s="910"/>
    </row>
    <row r="42" spans="1:25" s="94" customFormat="1" ht="12.75" customHeight="1" x14ac:dyDescent="0.2">
      <c r="A42" s="17"/>
      <c r="B42" s="17"/>
      <c r="C42" s="17"/>
      <c r="D42" s="17"/>
      <c r="E42" s="17"/>
      <c r="F42" s="17"/>
      <c r="G42" s="17"/>
      <c r="H42" s="17"/>
      <c r="I42" s="88"/>
      <c r="J42" s="17"/>
      <c r="K42" s="112"/>
      <c r="L42" s="17"/>
      <c r="M42" s="17"/>
      <c r="N42" s="17"/>
      <c r="O42" s="17"/>
      <c r="P42" s="17"/>
      <c r="Q42" s="17"/>
      <c r="R42" s="17"/>
      <c r="S42" s="925"/>
      <c r="T42" s="925"/>
      <c r="U42" s="925"/>
      <c r="V42" s="925"/>
      <c r="W42" s="925"/>
      <c r="X42" s="925"/>
      <c r="Y42" s="925"/>
    </row>
    <row r="43" spans="1:25" s="94" customFormat="1" ht="12.75" customHeight="1" x14ac:dyDescent="0.2">
      <c r="A43" s="17"/>
      <c r="B43" s="17"/>
      <c r="C43" s="17"/>
      <c r="D43" s="17"/>
      <c r="E43" s="17"/>
      <c r="F43" s="17"/>
      <c r="G43" s="17"/>
      <c r="H43" s="17"/>
      <c r="I43" s="69"/>
      <c r="J43" s="17"/>
      <c r="K43" s="112"/>
      <c r="L43" s="17"/>
      <c r="M43" s="17"/>
      <c r="N43" s="17"/>
      <c r="O43" s="17"/>
      <c r="P43" s="17"/>
      <c r="Q43" s="17"/>
      <c r="R43" s="17"/>
      <c r="S43" s="925"/>
      <c r="T43" s="925"/>
      <c r="U43" s="925"/>
      <c r="V43" s="925"/>
      <c r="W43" s="925"/>
      <c r="X43" s="925"/>
      <c r="Y43" s="925"/>
    </row>
    <row r="44" spans="1:25" s="94" customFormat="1" ht="12.75" customHeight="1" x14ac:dyDescent="0.2">
      <c r="A44" s="17"/>
      <c r="B44" s="17"/>
      <c r="C44" s="17"/>
      <c r="D44" s="17"/>
      <c r="E44" s="17"/>
      <c r="F44" s="17"/>
      <c r="G44" s="17"/>
      <c r="H44" s="17"/>
      <c r="I44" s="88"/>
      <c r="J44" s="17"/>
      <c r="K44" s="112"/>
      <c r="L44" s="17"/>
      <c r="M44" s="17"/>
      <c r="N44" s="17"/>
      <c r="O44" s="17"/>
      <c r="P44" s="17"/>
      <c r="Q44" s="17"/>
      <c r="R44" s="17"/>
      <c r="S44" s="925"/>
      <c r="T44" s="925"/>
      <c r="U44" s="925"/>
      <c r="V44" s="925"/>
      <c r="W44" s="925"/>
      <c r="X44" s="925"/>
      <c r="Y44" s="925"/>
    </row>
    <row r="45" spans="1:25" s="94" customFormat="1" ht="12.75" customHeight="1" x14ac:dyDescent="0.2">
      <c r="A45" s="17"/>
      <c r="B45" s="17"/>
      <c r="C45" s="17"/>
      <c r="D45" s="17"/>
      <c r="E45" s="17"/>
      <c r="F45" s="17"/>
      <c r="G45" s="17"/>
      <c r="H45" s="17"/>
      <c r="I45" s="69"/>
      <c r="J45" s="17"/>
      <c r="K45" s="112"/>
      <c r="L45" s="17"/>
      <c r="M45" s="17"/>
      <c r="N45" s="17"/>
      <c r="O45" s="17"/>
      <c r="P45" s="17"/>
      <c r="Q45" s="17"/>
      <c r="R45" s="17"/>
      <c r="S45" s="925"/>
      <c r="T45" s="925"/>
      <c r="U45" s="925"/>
      <c r="V45" s="925"/>
      <c r="W45" s="925"/>
      <c r="X45" s="925"/>
      <c r="Y45" s="925"/>
    </row>
    <row r="46" spans="1:25" s="94" customFormat="1" ht="12.75" customHeight="1" x14ac:dyDescent="0.2">
      <c r="A46" s="17"/>
      <c r="B46" s="17"/>
      <c r="C46" s="17"/>
      <c r="D46" s="17"/>
      <c r="E46" s="17"/>
      <c r="F46" s="17"/>
      <c r="G46" s="17"/>
      <c r="H46" s="17"/>
      <c r="I46" s="88"/>
      <c r="J46" s="17"/>
      <c r="K46" s="112"/>
      <c r="L46" s="17"/>
      <c r="M46" s="17"/>
      <c r="N46" s="17"/>
      <c r="O46" s="17"/>
      <c r="P46" s="17"/>
      <c r="Q46" s="17"/>
      <c r="R46" s="17"/>
      <c r="S46" s="925"/>
      <c r="T46" s="925"/>
      <c r="U46" s="925"/>
      <c r="V46" s="925"/>
      <c r="W46" s="925"/>
      <c r="X46" s="925"/>
      <c r="Y46" s="925"/>
    </row>
    <row r="47" spans="1:25" s="94" customFormat="1" ht="12.75" customHeight="1" x14ac:dyDescent="0.2">
      <c r="A47" s="17"/>
      <c r="B47" s="17"/>
      <c r="C47" s="17"/>
      <c r="D47" s="17"/>
      <c r="E47" s="17"/>
      <c r="F47" s="13"/>
      <c r="G47" s="17"/>
      <c r="H47" s="17"/>
      <c r="I47" s="69"/>
      <c r="J47" s="17"/>
      <c r="K47" s="112"/>
      <c r="L47" s="17"/>
      <c r="M47" s="17"/>
      <c r="N47" s="17"/>
      <c r="O47" s="17"/>
      <c r="P47" s="17"/>
      <c r="Q47" s="17"/>
      <c r="R47" s="17"/>
      <c r="S47" s="925"/>
      <c r="T47" s="925"/>
      <c r="U47" s="925"/>
      <c r="V47" s="925"/>
      <c r="W47" s="925"/>
      <c r="X47" s="925"/>
      <c r="Y47" s="925"/>
    </row>
    <row r="48" spans="1:25" s="94" customFormat="1" ht="12.75" customHeight="1" x14ac:dyDescent="0.2">
      <c r="A48" s="17"/>
      <c r="B48" s="17"/>
      <c r="C48" s="17"/>
      <c r="D48" s="17"/>
      <c r="E48" s="17"/>
      <c r="F48" s="17"/>
      <c r="G48" s="17"/>
      <c r="H48" s="17"/>
      <c r="I48" s="88"/>
      <c r="J48" s="17"/>
      <c r="K48" s="112"/>
      <c r="L48" s="17"/>
      <c r="M48" s="17"/>
      <c r="N48" s="17"/>
      <c r="O48" s="17"/>
      <c r="P48" s="17"/>
      <c r="Q48" s="17"/>
      <c r="R48" s="17"/>
      <c r="S48" s="925"/>
      <c r="T48" s="925"/>
      <c r="U48" s="925"/>
      <c r="V48" s="925"/>
      <c r="W48" s="925"/>
      <c r="X48" s="925"/>
      <c r="Y48" s="925"/>
    </row>
    <row r="49" spans="1:25" s="94" customFormat="1" ht="12.75" customHeight="1" x14ac:dyDescent="0.2">
      <c r="A49" s="17"/>
      <c r="B49" s="17"/>
      <c r="C49" s="17"/>
      <c r="D49" s="17"/>
      <c r="E49" s="17"/>
      <c r="F49" s="17"/>
      <c r="G49" s="17"/>
      <c r="H49" s="17"/>
      <c r="I49" s="69"/>
      <c r="J49" s="17"/>
      <c r="K49" s="112"/>
      <c r="L49" s="17"/>
      <c r="M49" s="17"/>
      <c r="N49" s="17"/>
      <c r="O49" s="17"/>
      <c r="P49" s="17"/>
      <c r="Q49" s="17"/>
      <c r="R49" s="17"/>
      <c r="S49" s="925"/>
      <c r="T49" s="925"/>
      <c r="U49" s="925"/>
      <c r="V49" s="925"/>
      <c r="W49" s="925"/>
      <c r="X49" s="925"/>
      <c r="Y49" s="925"/>
    </row>
    <row r="50" spans="1:25" s="84" customFormat="1" ht="12" customHeight="1" x14ac:dyDescent="0.2">
      <c r="A50" s="17"/>
      <c r="B50" s="17"/>
      <c r="C50" s="17"/>
      <c r="D50" s="17"/>
      <c r="E50" s="17"/>
      <c r="F50" s="17"/>
      <c r="G50" s="17"/>
      <c r="H50" s="17"/>
      <c r="I50" s="88"/>
      <c r="J50" s="17"/>
      <c r="K50" s="112"/>
      <c r="L50" s="17"/>
      <c r="M50" s="17"/>
      <c r="N50" s="17"/>
      <c r="O50" s="17"/>
      <c r="P50" s="17"/>
      <c r="Q50" s="17"/>
      <c r="R50" s="17"/>
      <c r="S50" s="910"/>
      <c r="T50" s="910"/>
      <c r="U50" s="910"/>
      <c r="V50" s="910"/>
      <c r="W50" s="910"/>
      <c r="X50" s="910"/>
      <c r="Y50" s="910"/>
    </row>
  </sheetData>
  <sheetProtection algorithmName="SHA-512" hashValue="22EUdOhQDHJ4BwPnT+jBSwoMEs+kGbF4gCohkJiKuCGklNo3OmGFddwgTSNRrqwUt+ABe81WM+q56sBQ1eNfcQ==" saltValue="cgr1bG82JD7ggQoFK4qSZw==" spinCount="100000" sheet="1" objects="1" scenarios="1"/>
  <mergeCells count="28">
    <mergeCell ref="F9:G9"/>
    <mergeCell ref="F8:G8"/>
    <mergeCell ref="D7:E7"/>
    <mergeCell ref="B9:E9"/>
    <mergeCell ref="B7:C7"/>
    <mergeCell ref="A2:H2"/>
    <mergeCell ref="B3:H3"/>
    <mergeCell ref="B4:H4"/>
    <mergeCell ref="B5:H5"/>
    <mergeCell ref="B6:C6"/>
    <mergeCell ref="D6:F6"/>
    <mergeCell ref="G6:H6"/>
    <mergeCell ref="J1:Q1"/>
    <mergeCell ref="A29:H35"/>
    <mergeCell ref="A36:H36"/>
    <mergeCell ref="F7:H7"/>
    <mergeCell ref="A23:E23"/>
    <mergeCell ref="A24:E24"/>
    <mergeCell ref="A25:A26"/>
    <mergeCell ref="B26:E26"/>
    <mergeCell ref="A28:H28"/>
    <mergeCell ref="A10:H10"/>
    <mergeCell ref="A21:E21"/>
    <mergeCell ref="G21:G22"/>
    <mergeCell ref="H21:H22"/>
    <mergeCell ref="A22:E22"/>
    <mergeCell ref="B8:E8"/>
    <mergeCell ref="A1:G1"/>
  </mergeCells>
  <conditionalFormatting sqref="K3:P3">
    <cfRule type="expression" dxfId="54" priority="38">
      <formula>IF($J$3=$F$7,TRUE(),FALSE())</formula>
    </cfRule>
  </conditionalFormatting>
  <conditionalFormatting sqref="L4:M4">
    <cfRule type="expression" dxfId="53" priority="39">
      <formula>IF($J$4=$F$7,TRUE(),FALSE())</formula>
    </cfRule>
  </conditionalFormatting>
  <conditionalFormatting sqref="L5:M5">
    <cfRule type="expression" dxfId="52" priority="40">
      <formula>IF($J$5=$F$7,TRUE(),FALSE())</formula>
    </cfRule>
  </conditionalFormatting>
  <conditionalFormatting sqref="K6:P6">
    <cfRule type="expression" dxfId="51" priority="41">
      <formula>IF($J$6=$F$7,TRUE(),FALSE())</formula>
    </cfRule>
  </conditionalFormatting>
  <conditionalFormatting sqref="K7:P7">
    <cfRule type="expression" dxfId="50" priority="42">
      <formula>IF($J$7=$F$7,TRUE(),FALSE())</formula>
    </cfRule>
  </conditionalFormatting>
  <conditionalFormatting sqref="K8:P8">
    <cfRule type="expression" dxfId="49" priority="43">
      <formula>IF($J$8=$F$7,TRUE(),FALSE())</formula>
    </cfRule>
  </conditionalFormatting>
  <conditionalFormatting sqref="K4">
    <cfRule type="expression" dxfId="48" priority="25">
      <formula>IF($J$4=$F$7,TRUE(),FALSE())</formula>
    </cfRule>
  </conditionalFormatting>
  <conditionalFormatting sqref="K5">
    <cfRule type="expression" dxfId="47" priority="26">
      <formula>IF($J$5=$F$7,TRUE(),FALSE())</formula>
    </cfRule>
  </conditionalFormatting>
  <conditionalFormatting sqref="P4">
    <cfRule type="expression" dxfId="46" priority="19">
      <formula>IF($J$4=$F$7,TRUE(),FALSE())</formula>
    </cfRule>
  </conditionalFormatting>
  <conditionalFormatting sqref="N4">
    <cfRule type="expression" dxfId="45" priority="23">
      <formula>IF($J$4=$F$7,TRUE(),FALSE())</formula>
    </cfRule>
  </conditionalFormatting>
  <conditionalFormatting sqref="N5">
    <cfRule type="expression" dxfId="44" priority="24">
      <formula>IF($J$5=$F$7,TRUE(),FALSE())</formula>
    </cfRule>
  </conditionalFormatting>
  <conditionalFormatting sqref="O4">
    <cfRule type="expression" dxfId="43" priority="21">
      <formula>IF($J$4=$F$7,TRUE(),FALSE())</formula>
    </cfRule>
  </conditionalFormatting>
  <conditionalFormatting sqref="O5">
    <cfRule type="expression" dxfId="42" priority="22">
      <formula>IF($J$5=$F$7,TRUE(),FALSE())</formula>
    </cfRule>
  </conditionalFormatting>
  <conditionalFormatting sqref="P5">
    <cfRule type="expression" dxfId="41" priority="20">
      <formula>IF($J$5=$F$7,TRUE(),FALSE())</formula>
    </cfRule>
  </conditionalFormatting>
  <conditionalFormatting sqref="D7:E7">
    <cfRule type="cellIs" dxfId="40" priority="18" operator="equal">
      <formula>T23</formula>
    </cfRule>
  </conditionalFormatting>
  <conditionalFormatting sqref="Q3">
    <cfRule type="expression" dxfId="39" priority="14">
      <formula>IF($J$3=$F$7,TRUE(),FALSE())</formula>
    </cfRule>
  </conditionalFormatting>
  <conditionalFormatting sqref="Q6">
    <cfRule type="expression" dxfId="38" priority="15">
      <formula>IF($J$6=$F$7,TRUE(),FALSE())</formula>
    </cfRule>
  </conditionalFormatting>
  <conditionalFormatting sqref="Q7">
    <cfRule type="expression" dxfId="37" priority="16">
      <formula>IF($J$7=$F$7,TRUE(),FALSE())</formula>
    </cfRule>
  </conditionalFormatting>
  <conditionalFormatting sqref="Q8">
    <cfRule type="expression" dxfId="36" priority="17">
      <formula>IF($J$8=$F$7,TRUE(),FALSE())</formula>
    </cfRule>
  </conditionalFormatting>
  <conditionalFormatting sqref="Q4">
    <cfRule type="expression" dxfId="35" priority="12">
      <formula>IF($J$4=$F$7,TRUE(),FALSE())</formula>
    </cfRule>
  </conditionalFormatting>
  <conditionalFormatting sqref="Q5">
    <cfRule type="expression" dxfId="34" priority="13">
      <formula>IF($J$5=$F$7,TRUE(),FALSE())</formula>
    </cfRule>
  </conditionalFormatting>
  <conditionalFormatting sqref="J3">
    <cfRule type="expression" dxfId="33" priority="1">
      <formula>IF($J$3=$F$7,TRUE(),FALSE())</formula>
    </cfRule>
  </conditionalFormatting>
  <conditionalFormatting sqref="J4">
    <cfRule type="expression" dxfId="32" priority="2">
      <formula>IF($J$4=$F$7,TRUE(),FALSE())</formula>
    </cfRule>
  </conditionalFormatting>
  <conditionalFormatting sqref="J5">
    <cfRule type="expression" dxfId="31" priority="3">
      <formula>IF($J$5=$F$7,TRUE(),FALSE())</formula>
    </cfRule>
  </conditionalFormatting>
  <conditionalFormatting sqref="J6">
    <cfRule type="expression" dxfId="30" priority="4">
      <formula>IF($J$6=$F$7,TRUE(),FALSE())</formula>
    </cfRule>
  </conditionalFormatting>
  <conditionalFormatting sqref="J7">
    <cfRule type="expression" dxfId="29" priority="5">
      <formula>IF($J$7=$F$7,TRUE(),FALSE())</formula>
    </cfRule>
  </conditionalFormatting>
  <conditionalFormatting sqref="J8">
    <cfRule type="expression" dxfId="28" priority="6">
      <formula>IF($J$8=$F$7,TRUE(),FALSE())</formula>
    </cfRule>
  </conditionalFormatting>
  <dataValidations count="1">
    <dataValidation type="list" showErrorMessage="1" errorTitle="Ungültige Beitragszone" promptTitle="Ungültige Beitragszone" sqref="F7:H7">
      <formula1>$J$3:$J$8</formula1>
    </dataValidation>
  </dataValidations>
  <pageMargins left="0.78740157480314965" right="0.59055118110236227" top="0.78740157480314965" bottom="0.59055118110236227" header="0.31496062992125984" footer="0.31496062992125984"/>
  <pageSetup paperSize="9" scale="83" orientation="portrait" r:id="rId1"/>
  <headerFooter alignWithMargins="0">
    <oddHeader>&amp;L&amp;8Ufficio federale dell'agricoltura&amp;R&amp;8Aiuto al calcolo; stato 1.2023</oddHeader>
    <oddFooter>&amp;L&amp;8&amp;D; &amp;T&amp;R&amp;8&amp;A</oddFooter>
  </headerFooter>
  <colBreaks count="1" manualBreakCount="1">
    <brk id="8" max="5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6"/>
  <sheetViews>
    <sheetView showGridLines="0" showRowColHeaders="0" showZeros="0" zoomScaleNormal="100" zoomScaleSheetLayoutView="100" workbookViewId="0">
      <selection activeCell="A13" sqref="A13"/>
    </sheetView>
  </sheetViews>
  <sheetFormatPr baseColWidth="10" defaultColWidth="11.42578125" defaultRowHeight="12.75" x14ac:dyDescent="0.2"/>
  <cols>
    <col min="1" max="1" width="21" style="235" customWidth="1"/>
    <col min="2" max="2" width="14.5703125" style="235" customWidth="1"/>
    <col min="3" max="3" width="13.140625" style="235" customWidth="1"/>
    <col min="4" max="4" width="12.85546875" style="235" customWidth="1"/>
    <col min="5" max="5" width="13.7109375" style="235" customWidth="1"/>
    <col min="6" max="6" width="14.140625" style="235" customWidth="1"/>
    <col min="7" max="7" width="1.5703125" style="235" customWidth="1"/>
    <col min="8" max="8" width="11.42578125" style="235"/>
    <col min="9" max="9" width="3.140625" style="235" customWidth="1"/>
    <col min="10" max="16384" width="11.42578125" style="235"/>
  </cols>
  <sheetData>
    <row r="1" spans="1:20" s="221" customFormat="1" ht="25.15" customHeight="1" x14ac:dyDescent="0.2">
      <c r="A1" s="1135" t="s">
        <v>190</v>
      </c>
      <c r="B1" s="1136"/>
      <c r="C1" s="1136"/>
      <c r="D1" s="1136"/>
      <c r="E1" s="1136"/>
      <c r="F1" s="443"/>
      <c r="G1" s="220"/>
    </row>
    <row r="2" spans="1:20" s="221" customFormat="1" ht="12.75" customHeight="1" x14ac:dyDescent="0.2">
      <c r="A2" s="1137"/>
      <c r="B2" s="1137"/>
      <c r="C2" s="1137"/>
      <c r="D2" s="1137"/>
      <c r="E2" s="1137"/>
      <c r="F2" s="1137"/>
      <c r="G2" s="220"/>
    </row>
    <row r="3" spans="1:20" s="221" customFormat="1" ht="12.75" customHeight="1" x14ac:dyDescent="0.2">
      <c r="A3" s="458" t="str">
        <f>USM!A3</f>
        <v>Richiedente</v>
      </c>
      <c r="B3" s="979">
        <f>USM!B3</f>
        <v>0</v>
      </c>
      <c r="C3" s="979"/>
      <c r="D3" s="979"/>
      <c r="E3" s="979"/>
      <c r="F3" s="1138"/>
      <c r="G3" s="220"/>
    </row>
    <row r="4" spans="1:20" s="222" customFormat="1" ht="12.75" customHeight="1" x14ac:dyDescent="0.2">
      <c r="A4" s="459" t="str">
        <f>USM!A4</f>
        <v>Comune politico</v>
      </c>
      <c r="B4" s="1038">
        <f>USM!B4</f>
        <v>0</v>
      </c>
      <c r="C4" s="1038"/>
      <c r="D4" s="1038"/>
      <c r="E4" s="1038"/>
      <c r="F4" s="1139"/>
      <c r="G4" s="220"/>
    </row>
    <row r="5" spans="1:20" s="222" customFormat="1" ht="12.75" customHeight="1" x14ac:dyDescent="0.2">
      <c r="A5" s="459" t="str">
        <f>USM!A5</f>
        <v>N. Cantone</v>
      </c>
      <c r="B5" s="1038">
        <f>USM!B5</f>
        <v>0</v>
      </c>
      <c r="C5" s="1038"/>
      <c r="D5" s="1038"/>
      <c r="E5" s="1038"/>
      <c r="F5" s="1139"/>
      <c r="G5" s="220"/>
    </row>
    <row r="6" spans="1:20" s="222" customFormat="1" ht="12.75" customHeight="1" x14ac:dyDescent="0.2">
      <c r="A6" s="460" t="str">
        <f>USM!A6</f>
        <v>N. CSF eMapis</v>
      </c>
      <c r="B6" s="1140">
        <f>USM!B6</f>
        <v>0</v>
      </c>
      <c r="C6" s="1140"/>
      <c r="D6" s="1140"/>
      <c r="E6" s="1140"/>
      <c r="F6" s="1141"/>
      <c r="G6" s="220"/>
    </row>
    <row r="7" spans="1:20" s="222" customFormat="1" ht="12.75" customHeight="1" x14ac:dyDescent="0.2">
      <c r="A7" s="459" t="s">
        <v>128</v>
      </c>
      <c r="B7" s="1038"/>
      <c r="C7" s="1038"/>
      <c r="D7" s="1038"/>
      <c r="E7" s="1038"/>
      <c r="F7" s="1139"/>
      <c r="G7" s="220"/>
    </row>
    <row r="8" spans="1:20" s="222" customFormat="1" ht="12.75" customHeight="1" x14ac:dyDescent="0.2">
      <c r="A8" s="738" t="s">
        <v>5</v>
      </c>
      <c r="B8" s="987">
        <f>USM!B7</f>
        <v>0</v>
      </c>
      <c r="C8" s="1038"/>
      <c r="D8" s="1038"/>
      <c r="E8" s="1038"/>
      <c r="F8" s="1139"/>
      <c r="G8" s="220"/>
    </row>
    <row r="9" spans="1:20" s="222" customFormat="1" ht="12.75" customHeight="1" x14ac:dyDescent="0.2">
      <c r="A9" s="461" t="str">
        <f>'20 aiuto iniziale'!A8:B8</f>
        <v>Costi del provvedimento</v>
      </c>
      <c r="B9" s="1030"/>
      <c r="C9" s="1031"/>
      <c r="D9" s="737"/>
      <c r="E9" s="689"/>
      <c r="F9" s="584"/>
      <c r="G9" s="220"/>
      <c r="I9" s="245"/>
      <c r="J9" s="245"/>
      <c r="K9" s="245"/>
      <c r="L9" s="245"/>
      <c r="M9" s="245"/>
      <c r="N9" s="245"/>
      <c r="O9" s="245"/>
      <c r="P9" s="245"/>
      <c r="Q9" s="245"/>
      <c r="R9" s="245"/>
      <c r="S9" s="245"/>
      <c r="T9" s="245"/>
    </row>
    <row r="10" spans="1:20" s="220" customFormat="1" ht="12.75" customHeight="1" x14ac:dyDescent="0.2">
      <c r="A10" s="957"/>
      <c r="B10" s="957"/>
      <c r="C10" s="957"/>
      <c r="D10" s="957"/>
      <c r="E10" s="957"/>
      <c r="F10" s="957"/>
      <c r="I10" s="245"/>
      <c r="J10" s="225"/>
      <c r="K10" s="225"/>
      <c r="L10" s="225"/>
      <c r="M10" s="225"/>
      <c r="N10" s="225"/>
      <c r="O10" s="225"/>
      <c r="P10" s="225"/>
      <c r="Q10" s="225"/>
      <c r="R10" s="225"/>
      <c r="S10" s="225"/>
      <c r="T10" s="225"/>
    </row>
    <row r="11" spans="1:20" s="220" customFormat="1" ht="18" customHeight="1" x14ac:dyDescent="0.2">
      <c r="A11" s="174" t="s">
        <v>191</v>
      </c>
      <c r="B11" s="610"/>
      <c r="C11" s="1148" t="str">
        <f>IF(B11="",P12,VLOOKUP(B11,I12:J23,2,FALSE))</f>
        <v>Inserire il numero del provvedimento</v>
      </c>
      <c r="D11" s="1149"/>
      <c r="E11" s="1149"/>
      <c r="F11" s="1150"/>
      <c r="G11" s="223"/>
      <c r="H11" s="224"/>
      <c r="I11" s="24" t="str">
        <f>'div. CI &amp; Contributo'!I11</f>
        <v>Numero e provvedimento</v>
      </c>
      <c r="J11" s="225"/>
      <c r="K11" s="229"/>
      <c r="L11" s="590"/>
      <c r="M11" s="225"/>
      <c r="N11" s="225"/>
      <c r="O11" s="225"/>
      <c r="P11" s="907" t="str">
        <f>'div. CI &amp; Contributo'!S10</f>
        <v>Notifiche</v>
      </c>
      <c r="Q11" s="927"/>
      <c r="R11" s="928"/>
      <c r="S11" s="225"/>
      <c r="T11" s="225"/>
    </row>
    <row r="12" spans="1:20" s="220" customFormat="1" ht="15" x14ac:dyDescent="0.2">
      <c r="A12" s="1142" t="str">
        <f>IF(OR(B11=I21,B11=I22),P13,"")</f>
        <v/>
      </c>
      <c r="B12" s="1143"/>
      <c r="C12" s="1144"/>
      <c r="D12" s="1158"/>
      <c r="E12" s="1159"/>
      <c r="F12" s="1160"/>
      <c r="G12" s="223"/>
      <c r="H12" s="224"/>
      <c r="I12" s="226">
        <v>21</v>
      </c>
      <c r="J12" s="227" t="s">
        <v>200</v>
      </c>
      <c r="K12" s="227"/>
      <c r="L12" s="225"/>
      <c r="M12" s="225"/>
      <c r="N12" s="225"/>
      <c r="O12" s="225"/>
      <c r="P12" s="928" t="str">
        <f>'div. CI &amp; Contributo'!S11</f>
        <v>Inserire il numero del provvedimento</v>
      </c>
      <c r="Q12" s="927"/>
      <c r="R12" s="928"/>
      <c r="S12" s="225"/>
      <c r="T12" s="225"/>
    </row>
    <row r="13" spans="1:20" s="220" customFormat="1" ht="15" x14ac:dyDescent="0.2">
      <c r="A13" s="1067" t="str">
        <f>IF(OR(B11=I21,B11=I22),P14,"")</f>
        <v/>
      </c>
      <c r="B13" s="1067"/>
      <c r="C13" s="1067"/>
      <c r="D13" s="1158"/>
      <c r="E13" s="1159"/>
      <c r="F13" s="1160"/>
      <c r="I13" s="228">
        <v>22</v>
      </c>
      <c r="J13" s="90" t="s">
        <v>193</v>
      </c>
      <c r="K13" s="227"/>
      <c r="L13" s="225"/>
      <c r="M13" s="225"/>
      <c r="N13" s="225"/>
      <c r="O13" s="225"/>
      <c r="P13" s="928" t="str">
        <f>'div. CI &amp; Contributo'!S14</f>
        <v>Prodotto agricolo trasformato</v>
      </c>
      <c r="Q13" s="927"/>
      <c r="R13" s="928"/>
      <c r="S13" s="225"/>
      <c r="T13" s="225"/>
    </row>
    <row r="14" spans="1:20" s="220" customFormat="1" ht="12.75" customHeight="1" x14ac:dyDescent="0.2">
      <c r="A14" s="1151"/>
      <c r="B14" s="1151"/>
      <c r="C14" s="1151"/>
      <c r="D14" s="1151"/>
      <c r="E14" s="1151"/>
      <c r="F14" s="1151"/>
      <c r="I14" s="228">
        <v>23</v>
      </c>
      <c r="J14" s="90" t="s">
        <v>194</v>
      </c>
      <c r="K14" s="227"/>
      <c r="L14" s="229"/>
      <c r="M14" s="225"/>
      <c r="N14" s="225"/>
      <c r="O14" s="225"/>
      <c r="P14" s="928" t="str">
        <f>'div. CI &amp; Contributo'!S15</f>
        <v>Forma aziendale</v>
      </c>
      <c r="Q14" s="927"/>
      <c r="R14" s="928"/>
      <c r="S14" s="225"/>
      <c r="T14" s="225"/>
    </row>
    <row r="15" spans="1:20" s="220" customFormat="1" ht="12.75" customHeight="1" x14ac:dyDescent="0.2">
      <c r="A15" s="1152" t="str">
        <f>'div. CI &amp; Contributo'!A15:G15</f>
        <v>Descrizione del progetto</v>
      </c>
      <c r="B15" s="1153"/>
      <c r="C15" s="1153"/>
      <c r="D15" s="1153"/>
      <c r="E15" s="1153"/>
      <c r="F15" s="1154"/>
      <c r="I15" s="226">
        <v>34</v>
      </c>
      <c r="J15" s="227" t="s">
        <v>195</v>
      </c>
      <c r="K15" s="227"/>
      <c r="L15" s="229"/>
      <c r="M15" s="225"/>
      <c r="N15" s="225"/>
      <c r="O15" s="225"/>
      <c r="P15" s="928"/>
      <c r="Q15" s="928"/>
      <c r="R15" s="928"/>
      <c r="S15" s="225"/>
      <c r="T15" s="225"/>
    </row>
    <row r="16" spans="1:20" s="220" customFormat="1" ht="12.75" customHeight="1" x14ac:dyDescent="0.2">
      <c r="A16" s="1092"/>
      <c r="B16" s="1090"/>
      <c r="C16" s="1090"/>
      <c r="D16" s="1090"/>
      <c r="E16" s="1090"/>
      <c r="F16" s="1155"/>
      <c r="I16" s="226">
        <v>35</v>
      </c>
      <c r="J16" s="90" t="s">
        <v>196</v>
      </c>
      <c r="K16" s="225"/>
      <c r="L16" s="225"/>
      <c r="M16" s="225"/>
      <c r="N16" s="225"/>
      <c r="O16" s="225"/>
      <c r="P16" s="225"/>
      <c r="Q16" s="225"/>
      <c r="R16" s="225"/>
      <c r="S16" s="225"/>
      <c r="T16" s="225"/>
    </row>
    <row r="17" spans="1:20" s="220" customFormat="1" ht="12.75" customHeight="1" x14ac:dyDescent="0.2">
      <c r="A17" s="1092"/>
      <c r="B17" s="1156"/>
      <c r="C17" s="1156"/>
      <c r="D17" s="1156"/>
      <c r="E17" s="1156"/>
      <c r="F17" s="1155"/>
      <c r="I17" s="228">
        <v>36</v>
      </c>
      <c r="J17" s="90" t="s">
        <v>280</v>
      </c>
      <c r="K17" s="225"/>
      <c r="L17" s="225"/>
      <c r="M17" s="225"/>
      <c r="N17" s="225"/>
      <c r="O17" s="225"/>
      <c r="P17" s="225"/>
      <c r="Q17" s="94"/>
      <c r="R17" s="225"/>
      <c r="S17" s="225"/>
      <c r="T17" s="225"/>
    </row>
    <row r="18" spans="1:20" s="220" customFormat="1" ht="12.75" customHeight="1" x14ac:dyDescent="0.2">
      <c r="A18" s="1092"/>
      <c r="B18" s="1156"/>
      <c r="C18" s="1156"/>
      <c r="D18" s="1156"/>
      <c r="E18" s="1156"/>
      <c r="F18" s="1155"/>
      <c r="I18" s="226">
        <v>37</v>
      </c>
      <c r="J18" s="90" t="s">
        <v>197</v>
      </c>
      <c r="K18" s="225"/>
      <c r="L18" s="225"/>
      <c r="M18" s="225"/>
      <c r="N18" s="225"/>
      <c r="O18" s="225"/>
      <c r="P18" s="225"/>
      <c r="Q18" s="94"/>
      <c r="R18" s="225"/>
      <c r="S18" s="225"/>
      <c r="T18" s="225"/>
    </row>
    <row r="19" spans="1:20" s="220" customFormat="1" ht="12.75" customHeight="1" x14ac:dyDescent="0.2">
      <c r="A19" s="1092"/>
      <c r="B19" s="1156"/>
      <c r="C19" s="1156"/>
      <c r="D19" s="1156"/>
      <c r="E19" s="1156"/>
      <c r="F19" s="1155"/>
      <c r="I19" s="228">
        <v>38</v>
      </c>
      <c r="J19" s="90" t="s">
        <v>198</v>
      </c>
      <c r="K19" s="225"/>
      <c r="L19" s="225"/>
      <c r="M19" s="225"/>
      <c r="N19" s="225"/>
      <c r="O19" s="225"/>
      <c r="P19" s="225"/>
      <c r="Q19" s="94"/>
      <c r="R19" s="225"/>
      <c r="S19" s="225"/>
      <c r="T19" s="225"/>
    </row>
    <row r="20" spans="1:20" s="220" customFormat="1" ht="12.75" customHeight="1" x14ac:dyDescent="0.2">
      <c r="A20" s="1092"/>
      <c r="B20" s="1156"/>
      <c r="C20" s="1156"/>
      <c r="D20" s="1156"/>
      <c r="E20" s="1156"/>
      <c r="F20" s="1155"/>
      <c r="I20" s="225">
        <v>39</v>
      </c>
      <c r="J20" s="94" t="s">
        <v>261</v>
      </c>
      <c r="K20" s="640"/>
      <c r="L20" s="591"/>
      <c r="M20" s="591"/>
      <c r="N20" s="225"/>
      <c r="O20" s="225"/>
      <c r="P20" s="225"/>
      <c r="Q20" s="94"/>
      <c r="R20" s="225"/>
      <c r="S20" s="225"/>
      <c r="T20" s="225"/>
    </row>
    <row r="21" spans="1:20" s="220" customFormat="1" ht="12.75" customHeight="1" x14ac:dyDescent="0.2">
      <c r="A21" s="1092"/>
      <c r="B21" s="1156"/>
      <c r="C21" s="1156"/>
      <c r="D21" s="1156"/>
      <c r="E21" s="1156"/>
      <c r="F21" s="1155"/>
      <c r="I21" s="228">
        <v>46</v>
      </c>
      <c r="J21" s="848" t="s">
        <v>262</v>
      </c>
      <c r="K21" s="225"/>
      <c r="L21" s="225"/>
      <c r="M21" s="225"/>
      <c r="N21" s="225"/>
      <c r="O21" s="225"/>
      <c r="P21" s="225"/>
      <c r="Q21" s="94"/>
      <c r="R21" s="225"/>
      <c r="S21" s="225"/>
      <c r="T21" s="225"/>
    </row>
    <row r="22" spans="1:20" s="220" customFormat="1" ht="12.75" customHeight="1" x14ac:dyDescent="0.2">
      <c r="A22" s="1092"/>
      <c r="B22" s="1156"/>
      <c r="C22" s="1156"/>
      <c r="D22" s="1156"/>
      <c r="E22" s="1156"/>
      <c r="F22" s="1155"/>
      <c r="I22" s="715">
        <v>49</v>
      </c>
      <c r="J22" s="90" t="s">
        <v>263</v>
      </c>
      <c r="K22" s="225"/>
      <c r="L22" s="225"/>
      <c r="M22" s="225"/>
      <c r="N22" s="225"/>
      <c r="O22" s="225"/>
      <c r="P22" s="225"/>
      <c r="Q22" s="94"/>
      <c r="R22" s="225"/>
      <c r="S22" s="225"/>
      <c r="T22" s="225"/>
    </row>
    <row r="23" spans="1:20" s="220" customFormat="1" ht="12.75" customHeight="1" x14ac:dyDescent="0.2">
      <c r="A23" s="1092"/>
      <c r="B23" s="1156"/>
      <c r="C23" s="1156"/>
      <c r="D23" s="1156"/>
      <c r="E23" s="1156"/>
      <c r="F23" s="1155"/>
      <c r="I23" s="225"/>
      <c r="J23" s="225"/>
      <c r="K23" s="225"/>
      <c r="L23" s="225"/>
      <c r="M23" s="225"/>
      <c r="N23" s="225"/>
      <c r="O23" s="225"/>
      <c r="P23" s="225"/>
      <c r="Q23" s="225"/>
      <c r="R23" s="225"/>
      <c r="S23" s="225"/>
      <c r="T23" s="225"/>
    </row>
    <row r="24" spans="1:20" s="220" customFormat="1" ht="12.75" customHeight="1" x14ac:dyDescent="0.2">
      <c r="A24" s="1092"/>
      <c r="B24" s="1156"/>
      <c r="C24" s="1156"/>
      <c r="D24" s="1156"/>
      <c r="E24" s="1156"/>
      <c r="F24" s="1155"/>
      <c r="K24" s="225"/>
      <c r="L24" s="225"/>
      <c r="M24" s="225"/>
      <c r="N24" s="225"/>
      <c r="O24" s="225"/>
      <c r="P24" s="225"/>
      <c r="Q24" s="225"/>
      <c r="R24" s="225"/>
      <c r="S24" s="225"/>
      <c r="T24" s="225"/>
    </row>
    <row r="25" spans="1:20" s="220" customFormat="1" ht="12.75" customHeight="1" x14ac:dyDescent="0.2">
      <c r="A25" s="1092"/>
      <c r="B25" s="1156"/>
      <c r="C25" s="1156"/>
      <c r="D25" s="1156"/>
      <c r="E25" s="1156"/>
      <c r="F25" s="1155"/>
      <c r="J25" s="31"/>
      <c r="K25" s="225"/>
      <c r="L25" s="225"/>
      <c r="M25" s="225"/>
      <c r="N25" s="225"/>
      <c r="O25" s="225"/>
      <c r="P25" s="225"/>
      <c r="Q25" s="225"/>
      <c r="R25" s="225"/>
      <c r="S25" s="225"/>
      <c r="T25" s="225"/>
    </row>
    <row r="26" spans="1:20" s="220" customFormat="1" ht="12.75" customHeight="1" x14ac:dyDescent="0.2">
      <c r="A26" s="1092"/>
      <c r="B26" s="1156"/>
      <c r="C26" s="1156"/>
      <c r="D26" s="1156"/>
      <c r="E26" s="1156"/>
      <c r="F26" s="1155"/>
      <c r="J26" s="157"/>
      <c r="K26" s="225"/>
      <c r="L26" s="225"/>
      <c r="M26" s="225"/>
      <c r="N26" s="225"/>
      <c r="O26" s="225"/>
      <c r="P26" s="225"/>
      <c r="Q26" s="225"/>
      <c r="R26" s="225"/>
      <c r="S26" s="225"/>
      <c r="T26" s="225"/>
    </row>
    <row r="27" spans="1:20" s="230" customFormat="1" ht="12.75" customHeight="1" x14ac:dyDescent="0.2">
      <c r="A27" s="1093"/>
      <c r="B27" s="1094"/>
      <c r="C27" s="1094"/>
      <c r="D27" s="1094"/>
      <c r="E27" s="1094"/>
      <c r="F27" s="1157"/>
      <c r="G27" s="220"/>
      <c r="J27" s="423"/>
      <c r="K27" s="234"/>
      <c r="L27" s="234"/>
      <c r="M27" s="234"/>
      <c r="N27" s="234"/>
      <c r="O27" s="234"/>
      <c r="P27" s="234"/>
      <c r="Q27" s="234"/>
      <c r="R27" s="234"/>
      <c r="S27" s="234"/>
      <c r="T27" s="234"/>
    </row>
    <row r="28" spans="1:20" s="231" customFormat="1" ht="38.25" customHeight="1" x14ac:dyDescent="0.2">
      <c r="A28" s="1147"/>
      <c r="B28" s="1147"/>
      <c r="C28" s="1147"/>
      <c r="D28" s="1147"/>
      <c r="E28" s="1147"/>
      <c r="F28" s="1147"/>
      <c r="G28" s="230"/>
      <c r="I28" s="94"/>
      <c r="J28" s="589"/>
      <c r="K28" s="589"/>
      <c r="L28" s="589"/>
      <c r="M28" s="589"/>
      <c r="N28" s="585"/>
      <c r="O28" s="585"/>
      <c r="P28" s="585"/>
      <c r="Q28" s="585"/>
      <c r="R28" s="585"/>
      <c r="S28" s="585"/>
      <c r="T28" s="585"/>
    </row>
    <row r="29" spans="1:20" s="232" customFormat="1" ht="25.5" x14ac:dyDescent="0.2">
      <c r="A29" s="832" t="str">
        <f>'30 abitazione'!B10</f>
        <v>Costi computabili</v>
      </c>
      <c r="B29" s="1146" t="str">
        <f>'30 abitazione'!C10</f>
        <v>Contributi pubblici</v>
      </c>
      <c r="C29" s="1146"/>
      <c r="D29" s="778" t="str">
        <f>'30 abitazione'!D10</f>
        <v>Costi residui</v>
      </c>
      <c r="E29" s="778" t="s">
        <v>201</v>
      </c>
      <c r="F29" s="778" t="s">
        <v>138</v>
      </c>
      <c r="G29" s="231"/>
      <c r="H29" s="929"/>
      <c r="I29" s="924" t="str">
        <f>'div. CI &amp; Contributo'!I18</f>
        <v>Lista di selezione: Prodotti agricoli</v>
      </c>
      <c r="J29" s="930"/>
      <c r="K29" s="931"/>
      <c r="L29" s="931"/>
      <c r="M29" s="931"/>
      <c r="N29" s="932" t="str">
        <f>'div. CI &amp; Contributo'!S19</f>
        <v>Lista di selezione: Forma aziendale</v>
      </c>
      <c r="O29" s="931"/>
      <c r="P29" s="921"/>
      <c r="Q29" s="929"/>
    </row>
    <row r="30" spans="1:20" s="222" customFormat="1" ht="18" customHeight="1" x14ac:dyDescent="0.2">
      <c r="A30" s="455"/>
      <c r="B30" s="1145"/>
      <c r="C30" s="1145"/>
      <c r="D30" s="588">
        <f>A30-B30</f>
        <v>0</v>
      </c>
      <c r="E30" s="753"/>
      <c r="F30" s="424">
        <f>ROUNDDOWN(D30*E30/100,0)</f>
        <v>0</v>
      </c>
      <c r="G30" s="232"/>
      <c r="H30" s="933"/>
      <c r="I30" s="934" t="str">
        <f>'div. CI &amp; Contributo'!I19</f>
        <v>Latte</v>
      </c>
      <c r="J30" s="934"/>
      <c r="K30" s="907"/>
      <c r="L30" s="907"/>
      <c r="M30" s="907"/>
      <c r="N30" s="928" t="str">
        <f>'div. CI &amp; Contributo'!S20</f>
        <v>Azienda agricola</v>
      </c>
      <c r="O30" s="907"/>
      <c r="P30" s="907"/>
      <c r="Q30" s="932"/>
      <c r="R30" s="245"/>
      <c r="S30" s="245"/>
      <c r="T30" s="245"/>
    </row>
    <row r="31" spans="1:20" s="222" customFormat="1" ht="12.75" customHeight="1" x14ac:dyDescent="0.2">
      <c r="A31" s="702" t="s">
        <v>137</v>
      </c>
      <c r="B31" s="703"/>
      <c r="C31" s="703"/>
      <c r="D31" s="703"/>
      <c r="E31" s="704"/>
      <c r="F31" s="587">
        <f>IF(F30&lt;=0,0,IF(F30&gt;=0,F30))</f>
        <v>0</v>
      </c>
      <c r="G31" s="233"/>
      <c r="H31" s="933"/>
      <c r="I31" s="934" t="str">
        <f>'div. CI &amp; Contributo'!I20</f>
        <v>Carne</v>
      </c>
      <c r="J31" s="935"/>
      <c r="K31" s="932"/>
      <c r="L31" s="932"/>
      <c r="M31" s="932"/>
      <c r="N31" s="928" t="str">
        <f>'div. CI &amp; Contributo'!S21</f>
        <v>Piccola azienda artigianale</v>
      </c>
      <c r="O31" s="932"/>
      <c r="P31" s="932"/>
      <c r="Q31" s="932"/>
      <c r="R31" s="245"/>
      <c r="S31" s="245"/>
      <c r="T31" s="245"/>
    </row>
    <row r="32" spans="1:20" s="225" customFormat="1" ht="12.75" customHeight="1" x14ac:dyDescent="0.2">
      <c r="A32" s="236"/>
      <c r="B32" s="236"/>
      <c r="C32" s="236"/>
      <c r="D32" s="236"/>
      <c r="E32" s="236"/>
      <c r="F32" s="236"/>
      <c r="G32" s="222"/>
      <c r="H32" s="928"/>
      <c r="I32" s="934" t="str">
        <f>'div. CI &amp; Contributo'!I21</f>
        <v>Prodotti vegetali</v>
      </c>
      <c r="J32" s="935"/>
      <c r="K32" s="928"/>
      <c r="L32" s="928"/>
      <c r="M32" s="928"/>
      <c r="N32" s="928" t="str">
        <f>'div. CI &amp; Contributo'!S22</f>
        <v>Comunità di produttori</v>
      </c>
      <c r="O32" s="928"/>
      <c r="P32" s="928"/>
      <c r="Q32" s="928"/>
    </row>
    <row r="33" spans="1:17" s="234" customFormat="1" ht="12.75" customHeight="1" x14ac:dyDescent="0.2">
      <c r="A33" s="846" t="s">
        <v>83</v>
      </c>
      <c r="B33" s="847"/>
      <c r="C33" s="847"/>
      <c r="D33" s="847"/>
      <c r="E33" s="847"/>
      <c r="F33" s="857"/>
      <c r="G33" s="223"/>
      <c r="H33" s="936"/>
      <c r="I33" s="934" t="str">
        <f>'div. CI &amp; Contributo'!I22</f>
        <v>Altri prodotti</v>
      </c>
      <c r="J33" s="937"/>
      <c r="K33" s="936"/>
      <c r="L33" s="936"/>
      <c r="M33" s="936"/>
      <c r="N33" s="936"/>
      <c r="O33" s="936"/>
      <c r="P33" s="936"/>
      <c r="Q33" s="936"/>
    </row>
    <row r="34" spans="1:17" s="234" customFormat="1" ht="12.75" customHeight="1" x14ac:dyDescent="0.2">
      <c r="A34" s="1092"/>
      <c r="B34" s="1090"/>
      <c r="C34" s="1090"/>
      <c r="D34" s="1090"/>
      <c r="E34" s="1090"/>
      <c r="F34" s="1091"/>
      <c r="H34" s="936"/>
      <c r="I34" s="935"/>
      <c r="J34" s="937"/>
      <c r="K34" s="936"/>
      <c r="L34" s="936"/>
      <c r="M34" s="936"/>
      <c r="N34" s="936"/>
      <c r="O34" s="936"/>
      <c r="P34" s="936"/>
      <c r="Q34" s="936"/>
    </row>
    <row r="35" spans="1:17" s="234" customFormat="1" ht="12.75" customHeight="1" x14ac:dyDescent="0.2">
      <c r="A35" s="1092"/>
      <c r="B35" s="1090"/>
      <c r="C35" s="1090"/>
      <c r="D35" s="1090"/>
      <c r="E35" s="1090"/>
      <c r="F35" s="1091"/>
      <c r="H35" s="936"/>
      <c r="I35" s="935"/>
      <c r="J35" s="937"/>
      <c r="K35" s="936"/>
      <c r="L35" s="936"/>
      <c r="M35" s="936"/>
      <c r="N35" s="936"/>
      <c r="O35" s="936"/>
      <c r="P35" s="936"/>
      <c r="Q35" s="936"/>
    </row>
    <row r="36" spans="1:17" s="234" customFormat="1" ht="12.75" customHeight="1" x14ac:dyDescent="0.2">
      <c r="A36" s="1092"/>
      <c r="B36" s="1090"/>
      <c r="C36" s="1090"/>
      <c r="D36" s="1090"/>
      <c r="E36" s="1090"/>
      <c r="F36" s="1091"/>
      <c r="H36" s="936"/>
      <c r="I36" s="937"/>
      <c r="J36" s="937"/>
      <c r="K36" s="936"/>
      <c r="L36" s="936"/>
      <c r="M36" s="936"/>
      <c r="N36" s="936"/>
      <c r="O36" s="936"/>
      <c r="P36" s="936"/>
      <c r="Q36" s="936"/>
    </row>
    <row r="37" spans="1:17" s="234" customFormat="1" ht="12.75" customHeight="1" x14ac:dyDescent="0.2">
      <c r="A37" s="1092"/>
      <c r="B37" s="1090"/>
      <c r="C37" s="1090"/>
      <c r="D37" s="1090"/>
      <c r="E37" s="1090"/>
      <c r="F37" s="1091"/>
      <c r="I37" s="627"/>
      <c r="J37" s="636"/>
      <c r="K37" s="84"/>
    </row>
    <row r="38" spans="1:17" s="234" customFormat="1" ht="12.75" customHeight="1" x14ac:dyDescent="0.2">
      <c r="A38" s="1092"/>
      <c r="B38" s="1090"/>
      <c r="C38" s="1090"/>
      <c r="D38" s="1090"/>
      <c r="E38" s="1090"/>
      <c r="F38" s="1091"/>
      <c r="I38" s="637"/>
      <c r="J38" s="84"/>
      <c r="K38" s="84"/>
    </row>
    <row r="39" spans="1:17" s="234" customFormat="1" ht="12.75" customHeight="1" x14ac:dyDescent="0.2">
      <c r="A39" s="1092"/>
      <c r="B39" s="1090"/>
      <c r="C39" s="1090"/>
      <c r="D39" s="1090"/>
      <c r="E39" s="1090"/>
      <c r="F39" s="1091"/>
      <c r="I39" s="638"/>
      <c r="J39" s="84"/>
      <c r="K39" s="84"/>
    </row>
    <row r="40" spans="1:17" s="234" customFormat="1" ht="12.75" customHeight="1" x14ac:dyDescent="0.2">
      <c r="A40" s="1092"/>
      <c r="B40" s="1090"/>
      <c r="C40" s="1090"/>
      <c r="D40" s="1090"/>
      <c r="E40" s="1090"/>
      <c r="F40" s="1091"/>
      <c r="I40" s="639"/>
      <c r="J40" s="84"/>
      <c r="K40" s="84"/>
    </row>
    <row r="41" spans="1:17" s="234" customFormat="1" ht="12.75" customHeight="1" x14ac:dyDescent="0.2">
      <c r="A41" s="1092"/>
      <c r="B41" s="1090"/>
      <c r="C41" s="1090"/>
      <c r="D41" s="1090"/>
      <c r="E41" s="1090"/>
      <c r="F41" s="1091"/>
      <c r="I41" s="639"/>
      <c r="J41" s="84"/>
      <c r="K41" s="84"/>
    </row>
    <row r="42" spans="1:17" s="234" customFormat="1" ht="12.75" customHeight="1" x14ac:dyDescent="0.2">
      <c r="A42" s="1092"/>
      <c r="B42" s="1090"/>
      <c r="C42" s="1090"/>
      <c r="D42" s="1090"/>
      <c r="E42" s="1090"/>
      <c r="F42" s="1091"/>
      <c r="I42" s="639"/>
      <c r="J42" s="84"/>
      <c r="K42" s="84"/>
    </row>
    <row r="43" spans="1:17" s="234" customFormat="1" ht="12.75" customHeight="1" x14ac:dyDescent="0.2">
      <c r="A43" s="1092"/>
      <c r="B43" s="1090"/>
      <c r="C43" s="1090"/>
      <c r="D43" s="1090"/>
      <c r="E43" s="1090"/>
      <c r="F43" s="1091"/>
    </row>
    <row r="44" spans="1:17" ht="12.75" customHeight="1" x14ac:dyDescent="0.2">
      <c r="A44" s="1092"/>
      <c r="B44" s="1090"/>
      <c r="C44" s="1090"/>
      <c r="D44" s="1090"/>
      <c r="E44" s="1090"/>
      <c r="F44" s="1091"/>
      <c r="G44" s="234"/>
      <c r="I44" s="234"/>
    </row>
    <row r="45" spans="1:17" ht="15" customHeight="1" x14ac:dyDescent="0.2">
      <c r="A45" s="1093"/>
      <c r="B45" s="1094"/>
      <c r="C45" s="1094"/>
      <c r="D45" s="1094"/>
      <c r="E45" s="1094"/>
      <c r="F45" s="1095"/>
      <c r="I45" s="234"/>
    </row>
    <row r="46" spans="1:17" x14ac:dyDescent="0.2">
      <c r="I46" s="234"/>
    </row>
    <row r="47" spans="1:17" x14ac:dyDescent="0.2">
      <c r="A47" s="237"/>
      <c r="B47" s="238"/>
      <c r="C47" s="238"/>
      <c r="D47" s="238"/>
      <c r="E47" s="237"/>
      <c r="F47" s="238"/>
    </row>
    <row r="48" spans="1:17" x14ac:dyDescent="0.2">
      <c r="A48" s="237"/>
      <c r="B48" s="237"/>
      <c r="C48" s="237"/>
      <c r="D48" s="238"/>
      <c r="E48" s="237"/>
      <c r="F48" s="238"/>
    </row>
    <row r="49" spans="1:6" x14ac:dyDescent="0.2">
      <c r="A49" s="239"/>
      <c r="B49" s="240"/>
      <c r="C49" s="240"/>
      <c r="D49" s="241"/>
      <c r="E49" s="237"/>
      <c r="F49" s="237"/>
    </row>
    <row r="50" spans="1:6" x14ac:dyDescent="0.2">
      <c r="C50" s="239"/>
      <c r="D50" s="241"/>
      <c r="E50" s="242"/>
      <c r="F50" s="237"/>
    </row>
    <row r="51" spans="1:6" x14ac:dyDescent="0.2">
      <c r="C51" s="243"/>
      <c r="D51" s="244"/>
      <c r="E51" s="242"/>
      <c r="F51" s="237"/>
    </row>
    <row r="52" spans="1:6" x14ac:dyDescent="0.2">
      <c r="A52" s="237"/>
      <c r="C52" s="444"/>
      <c r="D52" s="237"/>
      <c r="E52" s="237"/>
      <c r="F52" s="238"/>
    </row>
    <row r="53" spans="1:6" x14ac:dyDescent="0.2">
      <c r="A53" s="237"/>
      <c r="B53" s="237"/>
      <c r="C53" s="237"/>
      <c r="D53" s="237"/>
      <c r="E53" s="237"/>
      <c r="F53" s="237"/>
    </row>
    <row r="54" spans="1:6" x14ac:dyDescent="0.2">
      <c r="A54" s="237"/>
      <c r="B54" s="237"/>
      <c r="C54" s="237"/>
      <c r="D54" s="237"/>
      <c r="E54" s="237"/>
      <c r="F54" s="238"/>
    </row>
    <row r="55" spans="1:6" x14ac:dyDescent="0.2">
      <c r="A55" s="237"/>
      <c r="B55" s="238"/>
      <c r="C55" s="238"/>
      <c r="D55" s="237"/>
      <c r="E55" s="237"/>
      <c r="F55" s="237"/>
    </row>
    <row r="56" spans="1:6" x14ac:dyDescent="0.2">
      <c r="A56" s="237"/>
      <c r="B56" s="238"/>
      <c r="C56" s="238"/>
    </row>
  </sheetData>
  <sheetProtection algorithmName="SHA-512" hashValue="IOFM0U5R5KXai6liqk0a5yUKlZehlWJvdvcb4Y8P+ExNeqfUhVYpfvDNt/9idVca13ITcToDTlLOIsVc0ZUiBw==" saltValue="pk1Ype2RXZTRQMk2zU/AYg==" spinCount="100000" sheet="1" objects="1" scenarios="1"/>
  <sortState ref="I12:J23">
    <sortCondition ref="I12"/>
  </sortState>
  <mergeCells count="22">
    <mergeCell ref="A34:F45"/>
    <mergeCell ref="A10:F10"/>
    <mergeCell ref="A28:F28"/>
    <mergeCell ref="C11:F11"/>
    <mergeCell ref="A14:F14"/>
    <mergeCell ref="A15:F15"/>
    <mergeCell ref="A16:F27"/>
    <mergeCell ref="D12:F12"/>
    <mergeCell ref="A13:C13"/>
    <mergeCell ref="D13:F13"/>
    <mergeCell ref="B6:F6"/>
    <mergeCell ref="B7:F7"/>
    <mergeCell ref="A12:C12"/>
    <mergeCell ref="B30:C30"/>
    <mergeCell ref="B29:C29"/>
    <mergeCell ref="B8:F8"/>
    <mergeCell ref="B9:C9"/>
    <mergeCell ref="A1:E1"/>
    <mergeCell ref="A2:F2"/>
    <mergeCell ref="B3:F3"/>
    <mergeCell ref="B4:F4"/>
    <mergeCell ref="B5:F5"/>
  </mergeCells>
  <conditionalFormatting sqref="C11:F11">
    <cfRule type="expression" dxfId="27" priority="11">
      <formula>IF($B$11="",TRUE(),FALSE())</formula>
    </cfRule>
  </conditionalFormatting>
  <conditionalFormatting sqref="E30">
    <cfRule type="cellIs" dxfId="26" priority="9" operator="greaterThan">
      <formula>65</formula>
    </cfRule>
    <cfRule type="cellIs" dxfId="25" priority="10" operator="between">
      <formula>50.01</formula>
      <formula>65</formula>
    </cfRule>
  </conditionalFormatting>
  <conditionalFormatting sqref="A30">
    <cfRule type="cellIs" dxfId="24" priority="8" operator="greaterThan">
      <formula>#REF!</formula>
    </cfRule>
  </conditionalFormatting>
  <conditionalFormatting sqref="D12">
    <cfRule type="expression" dxfId="23" priority="3">
      <formula>IF(OR(AND(D12="",B11=46),AND(D12="",B11=49)),TRUE(),FALSE())</formula>
    </cfRule>
  </conditionalFormatting>
  <conditionalFormatting sqref="D13">
    <cfRule type="expression" dxfId="22" priority="1">
      <formula>IF(OR(AND(D13="",B11=46),AND(D13="",B11=49)),TRUE(),FALSE())</formula>
    </cfRule>
  </conditionalFormatting>
  <dataValidations count="2">
    <dataValidation type="list" allowBlank="1" showInputMessage="1" showErrorMessage="1" prompt="Bitte geben Sie an, ob es sich bei der Diversifizierung um eine Anlage zur Energieproduktion aus Biomasse handelt (Ja / Nein)." sqref="D12">
      <formula1>$I$30:$I$33</formula1>
    </dataValidation>
    <dataValidation type="list" allowBlank="1" showInputMessage="1" showErrorMessage="1" prompt="Bitte geben Sie an, welche Betriebsform am besten zu trifft." sqref="D13:F13">
      <formula1>$N$30:$N$32</formula1>
    </dataValidation>
  </dataValidations>
  <pageMargins left="0.78740157480314965" right="0.59055118110236227" top="0.78740157480314965" bottom="0.59055118110236227" header="0.31496062992125984" footer="0.31496062992125984"/>
  <pageSetup paperSize="9" orientation="portrait" r:id="rId1"/>
  <headerFooter alignWithMargins="0">
    <oddHeader>&amp;L&amp;8Ufficio federale dell'agricoltura&amp;R&amp;8Aiuto al calcolo; stato 1.2023</oddHeader>
    <oddFooter>&amp;L&amp;8&amp;D; &amp;T&amp;R&amp;8&amp;A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AE58"/>
  <sheetViews>
    <sheetView showGridLines="0" showRowColHeaders="0" showZeros="0" zoomScaleNormal="100" zoomScaleSheetLayoutView="100" workbookViewId="0">
      <selection activeCell="A13" sqref="A13:C13"/>
    </sheetView>
  </sheetViews>
  <sheetFormatPr baseColWidth="10" defaultColWidth="11.42578125" defaultRowHeight="12.75" x14ac:dyDescent="0.2"/>
  <cols>
    <col min="1" max="1" width="21.140625" style="235" customWidth="1"/>
    <col min="2" max="2" width="20.140625" style="235" customWidth="1"/>
    <col min="3" max="3" width="13.140625" style="235" customWidth="1"/>
    <col min="4" max="4" width="11.42578125" style="235" customWidth="1"/>
    <col min="5" max="6" width="11.140625" style="235" customWidth="1"/>
    <col min="7" max="7" width="12.7109375" style="235" customWidth="1"/>
    <col min="8" max="8" width="11.140625" style="234" customWidth="1"/>
    <col min="9" max="9" width="3" style="234" customWidth="1"/>
    <col min="10" max="10" width="8.85546875" style="234" customWidth="1"/>
    <col min="11" max="17" width="7.7109375" style="234" customWidth="1"/>
    <col min="18" max="18" width="1.7109375" style="234" customWidth="1"/>
    <col min="19" max="19" width="11" style="234" customWidth="1"/>
    <col min="20" max="26" width="8.7109375" style="234" customWidth="1"/>
    <col min="27" max="27" width="11.140625" style="234" customWidth="1"/>
    <col min="28" max="31" width="11.42578125" style="234"/>
    <col min="32" max="16384" width="11.42578125" style="235"/>
  </cols>
  <sheetData>
    <row r="1" spans="1:31" s="221" customFormat="1" ht="25.15" customHeight="1" x14ac:dyDescent="0.2">
      <c r="A1" s="1135" t="s">
        <v>226</v>
      </c>
      <c r="B1" s="1136"/>
      <c r="C1" s="1136"/>
      <c r="D1" s="1136"/>
      <c r="E1" s="1136"/>
      <c r="F1" s="1199"/>
      <c r="G1" s="1200"/>
      <c r="H1" s="225"/>
      <c r="I1" s="225"/>
      <c r="J1" s="225"/>
      <c r="K1" s="225"/>
      <c r="L1" s="225"/>
      <c r="M1" s="225"/>
      <c r="N1" s="225"/>
      <c r="O1" s="225"/>
      <c r="P1" s="225"/>
      <c r="Q1" s="225"/>
      <c r="R1" s="225"/>
      <c r="S1" s="225"/>
      <c r="T1" s="225"/>
      <c r="U1" s="225"/>
      <c r="V1" s="225"/>
      <c r="W1" s="225"/>
      <c r="X1" s="225"/>
      <c r="Y1" s="225"/>
      <c r="Z1" s="225"/>
      <c r="AA1" s="225"/>
      <c r="AB1" s="225"/>
      <c r="AC1" s="225"/>
      <c r="AD1" s="225"/>
      <c r="AE1" s="225"/>
    </row>
    <row r="2" spans="1:31" s="221" customFormat="1" ht="12.75" customHeight="1" x14ac:dyDescent="0.2">
      <c r="A2" s="1171"/>
      <c r="B2" s="1171"/>
      <c r="C2" s="1171"/>
      <c r="D2" s="1171"/>
      <c r="E2" s="1171"/>
      <c r="F2" s="1171"/>
      <c r="G2" s="1171"/>
      <c r="H2" s="225"/>
      <c r="I2" s="225"/>
      <c r="J2" s="225"/>
      <c r="K2" s="225"/>
      <c r="L2" s="225"/>
      <c r="M2" s="225"/>
      <c r="N2" s="225"/>
      <c r="O2" s="225"/>
      <c r="P2" s="225"/>
      <c r="Q2" s="225"/>
      <c r="R2" s="225"/>
      <c r="S2" s="225"/>
      <c r="T2" s="225"/>
      <c r="U2" s="225"/>
      <c r="V2" s="225"/>
      <c r="W2" s="225"/>
      <c r="X2" s="225"/>
      <c r="Y2" s="225"/>
      <c r="Z2" s="225"/>
      <c r="AA2" s="225"/>
      <c r="AB2" s="225"/>
      <c r="AC2" s="225"/>
      <c r="AD2" s="225"/>
      <c r="AE2" s="225"/>
    </row>
    <row r="3" spans="1:31" s="221" customFormat="1" ht="12.75" customHeight="1" x14ac:dyDescent="0.2">
      <c r="A3" s="458" t="str">
        <f>USM!A3</f>
        <v>Richiedente</v>
      </c>
      <c r="B3" s="978">
        <f>USM!B3</f>
        <v>0</v>
      </c>
      <c r="C3" s="979"/>
      <c r="D3" s="979"/>
      <c r="E3" s="979"/>
      <c r="F3" s="979"/>
      <c r="G3" s="980"/>
      <c r="H3" s="225"/>
      <c r="I3" s="225"/>
      <c r="J3" s="225"/>
      <c r="K3" s="225"/>
      <c r="L3" s="225"/>
      <c r="M3" s="225"/>
      <c r="N3" s="225"/>
      <c r="O3" s="225"/>
      <c r="P3" s="225"/>
      <c r="Q3" s="225"/>
      <c r="R3" s="225"/>
      <c r="S3" s="225"/>
      <c r="T3" s="225"/>
      <c r="U3" s="225"/>
      <c r="V3" s="225"/>
      <c r="W3" s="225"/>
      <c r="X3" s="225"/>
      <c r="Y3" s="225"/>
      <c r="Z3" s="225"/>
      <c r="AA3" s="225"/>
      <c r="AB3" s="225"/>
      <c r="AC3" s="225"/>
      <c r="AD3" s="225"/>
      <c r="AE3" s="225"/>
    </row>
    <row r="4" spans="1:31" s="222" customFormat="1" ht="12.75" customHeight="1" x14ac:dyDescent="0.2">
      <c r="A4" s="641" t="str">
        <f>USM!A4</f>
        <v>Comune politico</v>
      </c>
      <c r="B4" s="987">
        <f>USM!B4</f>
        <v>0</v>
      </c>
      <c r="C4" s="1038"/>
      <c r="D4" s="1038"/>
      <c r="E4" s="1038"/>
      <c r="F4" s="1038"/>
      <c r="G4" s="1039"/>
      <c r="H4" s="225"/>
      <c r="I4" s="225"/>
      <c r="J4" s="225"/>
      <c r="K4" s="225"/>
      <c r="L4" s="225"/>
      <c r="M4" s="225"/>
      <c r="N4" s="225"/>
      <c r="O4" s="225"/>
      <c r="P4" s="225"/>
      <c r="Q4" s="225"/>
      <c r="R4" s="225"/>
      <c r="S4" s="225"/>
      <c r="T4" s="225"/>
      <c r="U4" s="225"/>
      <c r="V4" s="225"/>
      <c r="W4" s="225"/>
      <c r="X4" s="225"/>
      <c r="Y4" s="225"/>
      <c r="Z4" s="225"/>
      <c r="AA4" s="225"/>
      <c r="AB4" s="225"/>
      <c r="AC4" s="225"/>
      <c r="AD4" s="225"/>
      <c r="AE4" s="225"/>
    </row>
    <row r="5" spans="1:31" s="222" customFormat="1" ht="12.75" customHeight="1" x14ac:dyDescent="0.2">
      <c r="A5" s="641" t="str">
        <f>USM!A5</f>
        <v>N. Cantone</v>
      </c>
      <c r="B5" s="987">
        <f>USM!B5</f>
        <v>0</v>
      </c>
      <c r="C5" s="1038"/>
      <c r="D5" s="1038"/>
      <c r="E5" s="1038"/>
      <c r="F5" s="1038"/>
      <c r="G5" s="1039"/>
      <c r="H5" s="225"/>
      <c r="I5" s="225"/>
      <c r="J5" s="225"/>
      <c r="K5" s="225"/>
      <c r="L5" s="225"/>
      <c r="M5" s="225"/>
      <c r="N5" s="225"/>
      <c r="O5" s="225"/>
      <c r="P5" s="225"/>
      <c r="Q5" s="225"/>
      <c r="R5" s="225"/>
      <c r="S5" s="225"/>
      <c r="T5" s="225"/>
      <c r="U5" s="225"/>
      <c r="V5" s="225"/>
      <c r="W5" s="225"/>
      <c r="X5" s="225"/>
      <c r="Y5" s="225"/>
      <c r="Z5" s="225"/>
      <c r="AA5" s="225"/>
      <c r="AB5" s="225"/>
      <c r="AC5" s="225"/>
      <c r="AD5" s="225"/>
      <c r="AE5" s="225"/>
    </row>
    <row r="6" spans="1:31" s="222" customFormat="1" ht="12.75" customHeight="1" x14ac:dyDescent="0.2">
      <c r="A6" s="642" t="str">
        <f>USM!A6</f>
        <v>N. CSF eMapis</v>
      </c>
      <c r="B6" s="1195">
        <f>USM!B6</f>
        <v>0</v>
      </c>
      <c r="C6" s="1140"/>
      <c r="D6" s="1140"/>
      <c r="E6" s="1140"/>
      <c r="F6" s="1140"/>
      <c r="G6" s="1196"/>
      <c r="H6" s="225"/>
      <c r="I6" s="225"/>
      <c r="J6" s="225"/>
      <c r="K6" s="225"/>
      <c r="L6" s="225"/>
      <c r="M6" s="225"/>
      <c r="N6" s="225"/>
      <c r="O6" s="225"/>
      <c r="P6" s="225"/>
      <c r="Q6" s="225"/>
      <c r="R6" s="225"/>
      <c r="S6" s="225"/>
      <c r="T6" s="225"/>
      <c r="U6" s="225"/>
      <c r="V6" s="225"/>
      <c r="W6" s="225"/>
      <c r="X6" s="225"/>
      <c r="Y6" s="225"/>
      <c r="Z6" s="225"/>
      <c r="AA6" s="225"/>
      <c r="AB6" s="225"/>
      <c r="AC6" s="225"/>
      <c r="AD6" s="225"/>
      <c r="AE6" s="225"/>
    </row>
    <row r="7" spans="1:31" s="222" customFormat="1" ht="12.75" customHeight="1" x14ac:dyDescent="0.2">
      <c r="A7" s="643" t="s">
        <v>128</v>
      </c>
      <c r="B7" s="987"/>
      <c r="C7" s="1038"/>
      <c r="D7" s="1038"/>
      <c r="E7" s="1038"/>
      <c r="F7" s="1038"/>
      <c r="G7" s="1039"/>
      <c r="H7" s="94"/>
      <c r="I7" s="94"/>
      <c r="J7" s="94"/>
      <c r="K7" s="94"/>
      <c r="L7" s="94"/>
      <c r="M7" s="94"/>
      <c r="N7" s="94"/>
      <c r="O7" s="94"/>
      <c r="P7" s="94"/>
      <c r="Q7" s="94"/>
      <c r="R7" s="94"/>
      <c r="S7" s="94"/>
      <c r="T7" s="94"/>
      <c r="U7" s="225"/>
      <c r="V7" s="225"/>
      <c r="W7" s="225"/>
      <c r="X7" s="225"/>
      <c r="Y7" s="225"/>
      <c r="Z7" s="225"/>
      <c r="AA7" s="225"/>
      <c r="AB7" s="225"/>
      <c r="AC7" s="225"/>
      <c r="AD7" s="225"/>
      <c r="AE7" s="225"/>
    </row>
    <row r="8" spans="1:31" s="222" customFormat="1" ht="12.75" customHeight="1" x14ac:dyDescent="0.2">
      <c r="A8" s="459" t="s">
        <v>5</v>
      </c>
      <c r="B8" s="1044">
        <f>USM!B7</f>
        <v>0</v>
      </c>
      <c r="C8" s="1194"/>
      <c r="D8" s="1164" t="s">
        <v>131</v>
      </c>
      <c r="E8" s="1165"/>
      <c r="F8" s="1197" t="str">
        <f>IF(B11="","",IF(I14=B11,100,90))</f>
        <v/>
      </c>
      <c r="G8" s="1198"/>
      <c r="H8" s="94"/>
      <c r="I8" s="32"/>
      <c r="J8" s="94"/>
      <c r="K8" s="94"/>
      <c r="L8" s="94"/>
      <c r="M8" s="94"/>
      <c r="N8" s="94"/>
      <c r="O8" s="94"/>
      <c r="P8" s="94"/>
      <c r="Q8" s="94"/>
      <c r="R8" s="94"/>
      <c r="S8" s="94"/>
      <c r="T8" s="94"/>
      <c r="U8" s="225"/>
      <c r="V8" s="225"/>
      <c r="W8" s="225"/>
      <c r="X8" s="225"/>
      <c r="Y8" s="225"/>
      <c r="Z8" s="225"/>
      <c r="AA8" s="225"/>
      <c r="AB8" s="225"/>
      <c r="AC8" s="225"/>
      <c r="AD8" s="225"/>
      <c r="AE8" s="225"/>
    </row>
    <row r="9" spans="1:31" s="222" customFormat="1" ht="12.75" customHeight="1" x14ac:dyDescent="0.2">
      <c r="A9" s="593" t="str">
        <f>'20 aiuto iniziale'!A8:B8</f>
        <v>Costi del provvedimento</v>
      </c>
      <c r="B9" s="1175"/>
      <c r="C9" s="1176"/>
      <c r="D9" s="737"/>
      <c r="E9" s="776"/>
      <c r="F9" s="1177"/>
      <c r="G9" s="1178"/>
      <c r="H9" s="94"/>
      <c r="I9" s="32"/>
      <c r="J9" s="94"/>
      <c r="K9" s="94"/>
      <c r="L9" s="94"/>
      <c r="M9" s="94"/>
      <c r="N9" s="94"/>
      <c r="O9" s="94"/>
      <c r="P9" s="94"/>
      <c r="Q9" s="94"/>
      <c r="R9" s="94"/>
      <c r="S9" s="94"/>
      <c r="T9" s="94"/>
      <c r="U9" s="225"/>
      <c r="V9" s="225"/>
      <c r="W9" s="225"/>
      <c r="X9" s="225"/>
      <c r="Y9" s="225"/>
      <c r="Z9" s="225"/>
      <c r="AA9" s="225"/>
      <c r="AB9" s="225"/>
      <c r="AC9" s="225"/>
      <c r="AD9" s="225"/>
      <c r="AE9" s="225"/>
    </row>
    <row r="10" spans="1:31" s="220" customFormat="1" ht="12.75" customHeight="1" x14ac:dyDescent="0.2">
      <c r="A10" s="1163"/>
      <c r="B10" s="1151"/>
      <c r="C10" s="1151"/>
      <c r="D10" s="1151"/>
      <c r="E10" s="1151"/>
      <c r="F10" s="1151"/>
      <c r="G10" s="224"/>
      <c r="H10" s="94"/>
      <c r="I10" s="94"/>
      <c r="J10" s="94"/>
      <c r="K10" s="94"/>
      <c r="L10" s="94"/>
      <c r="M10" s="94"/>
      <c r="N10" s="94"/>
      <c r="O10" s="94"/>
      <c r="P10" s="94"/>
      <c r="Q10" s="94"/>
      <c r="R10" s="94"/>
      <c r="S10" s="907" t="s">
        <v>271</v>
      </c>
      <c r="T10" s="925"/>
      <c r="U10" s="928"/>
      <c r="V10" s="928"/>
      <c r="W10" s="928"/>
      <c r="X10" s="225"/>
      <c r="Y10" s="225"/>
      <c r="Z10" s="225"/>
      <c r="AA10" s="225"/>
      <c r="AB10" s="225"/>
      <c r="AC10" s="225"/>
      <c r="AD10" s="225"/>
      <c r="AE10" s="225"/>
    </row>
    <row r="11" spans="1:31" s="220" customFormat="1" ht="19.5" customHeight="1" x14ac:dyDescent="0.2">
      <c r="A11" s="174" t="s">
        <v>191</v>
      </c>
      <c r="B11" s="610"/>
      <c r="C11" s="1179" t="str">
        <f>IF(B11="",S11,VLOOKUP(B11,I12:J15,2,FALSE))</f>
        <v>Inserire il numero del provvedimento</v>
      </c>
      <c r="D11" s="1180"/>
      <c r="E11" s="1180"/>
      <c r="F11" s="1180"/>
      <c r="G11" s="1181"/>
      <c r="H11" s="94"/>
      <c r="I11" s="24" t="s">
        <v>199</v>
      </c>
      <c r="J11" s="94"/>
      <c r="K11" s="94"/>
      <c r="L11" s="94"/>
      <c r="M11" s="94"/>
      <c r="N11" s="94"/>
      <c r="O11" s="94"/>
      <c r="P11" s="94"/>
      <c r="Q11" s="94"/>
      <c r="R11" s="94"/>
      <c r="S11" s="925" t="s">
        <v>192</v>
      </c>
      <c r="T11" s="925"/>
      <c r="U11" s="928"/>
      <c r="V11" s="928"/>
      <c r="W11" s="928"/>
      <c r="X11" s="225"/>
      <c r="Y11" s="225"/>
      <c r="Z11" s="225"/>
      <c r="AA11" s="225"/>
      <c r="AB11" s="225"/>
      <c r="AC11" s="225"/>
      <c r="AD11" s="225"/>
      <c r="AE11" s="225"/>
    </row>
    <row r="12" spans="1:31" s="220" customFormat="1" ht="15" x14ac:dyDescent="0.2">
      <c r="A12" s="1067" t="str">
        <f>IF(OR(B11=I13,B11=I14),S14,"")</f>
        <v/>
      </c>
      <c r="B12" s="1067"/>
      <c r="C12" s="1067"/>
      <c r="D12" s="1166"/>
      <c r="E12" s="1166"/>
      <c r="F12" s="1166"/>
      <c r="G12" s="1166"/>
      <c r="H12" s="94"/>
      <c r="I12" s="94">
        <v>39</v>
      </c>
      <c r="J12" s="94" t="s">
        <v>261</v>
      </c>
      <c r="K12" s="94"/>
      <c r="L12" s="94"/>
      <c r="M12" s="94"/>
      <c r="N12" s="94"/>
      <c r="O12" s="94"/>
      <c r="P12" s="94"/>
      <c r="Q12" s="94"/>
      <c r="R12" s="94"/>
      <c r="S12" s="925" t="s">
        <v>272</v>
      </c>
      <c r="T12" s="925"/>
      <c r="U12" s="928"/>
      <c r="V12" s="928"/>
      <c r="W12" s="928"/>
      <c r="X12" s="225"/>
      <c r="Y12" s="225"/>
      <c r="Z12" s="225"/>
      <c r="AA12" s="225"/>
      <c r="AB12" s="225"/>
      <c r="AC12" s="225"/>
      <c r="AD12" s="225"/>
      <c r="AE12" s="225"/>
    </row>
    <row r="13" spans="1:31" s="220" customFormat="1" ht="15" x14ac:dyDescent="0.2">
      <c r="A13" s="1067" t="str">
        <f>IF(OR(B11=I13,B11=I14),S15,"")</f>
        <v/>
      </c>
      <c r="B13" s="1067"/>
      <c r="C13" s="1067"/>
      <c r="D13" s="1166"/>
      <c r="E13" s="1166"/>
      <c r="F13" s="1166"/>
      <c r="G13" s="1166"/>
      <c r="H13" s="94"/>
      <c r="I13" s="228">
        <v>46</v>
      </c>
      <c r="J13" s="848" t="s">
        <v>262</v>
      </c>
      <c r="K13" s="858"/>
      <c r="L13" s="859"/>
      <c r="M13" s="860"/>
      <c r="N13" s="94"/>
      <c r="O13" s="94"/>
      <c r="P13" s="94"/>
      <c r="Q13" s="94"/>
      <c r="R13" s="94"/>
      <c r="S13" s="925" t="s">
        <v>273</v>
      </c>
      <c r="T13" s="925"/>
      <c r="U13" s="928"/>
      <c r="V13" s="928"/>
      <c r="W13" s="928"/>
      <c r="X13" s="225"/>
      <c r="Y13" s="225"/>
      <c r="Z13" s="225"/>
      <c r="AA13" s="225"/>
      <c r="AB13" s="225"/>
      <c r="AC13" s="225"/>
      <c r="AD13" s="225"/>
      <c r="AE13" s="225"/>
    </row>
    <row r="14" spans="1:31" s="220" customFormat="1" ht="12.75" customHeight="1" x14ac:dyDescent="0.2">
      <c r="A14" s="1171"/>
      <c r="B14" s="1171"/>
      <c r="C14" s="1171"/>
      <c r="D14" s="1171"/>
      <c r="E14" s="1171"/>
      <c r="F14" s="1171"/>
      <c r="G14" s="1171"/>
      <c r="H14" s="94"/>
      <c r="I14" s="94">
        <v>49</v>
      </c>
      <c r="J14" s="90" t="s">
        <v>263</v>
      </c>
      <c r="K14" s="90"/>
      <c r="L14" s="94"/>
      <c r="M14" s="94"/>
      <c r="N14" s="94"/>
      <c r="O14" s="94"/>
      <c r="P14" s="94"/>
      <c r="Q14" s="94"/>
      <c r="R14" s="94"/>
      <c r="S14" s="925" t="s">
        <v>281</v>
      </c>
      <c r="T14" s="925"/>
      <c r="U14" s="928"/>
      <c r="V14" s="928"/>
      <c r="W14" s="928"/>
      <c r="X14" s="225"/>
      <c r="Y14" s="225"/>
      <c r="Z14" s="225"/>
      <c r="AA14" s="225"/>
      <c r="AB14" s="225"/>
      <c r="AC14" s="225"/>
      <c r="AD14" s="225"/>
      <c r="AE14" s="225"/>
    </row>
    <row r="15" spans="1:31" s="220" customFormat="1" ht="15" x14ac:dyDescent="0.2">
      <c r="A15" s="1172" t="s">
        <v>209</v>
      </c>
      <c r="B15" s="1173"/>
      <c r="C15" s="1173"/>
      <c r="D15" s="1173"/>
      <c r="E15" s="1173"/>
      <c r="F15" s="1173"/>
      <c r="G15" s="1174"/>
      <c r="H15" s="94"/>
      <c r="I15" s="94">
        <v>82</v>
      </c>
      <c r="J15" s="94" t="s">
        <v>290</v>
      </c>
      <c r="K15" s="90"/>
      <c r="L15" s="94"/>
      <c r="M15" s="94"/>
      <c r="N15" s="94"/>
      <c r="O15" s="94"/>
      <c r="P15" s="94"/>
      <c r="Q15" s="94"/>
      <c r="R15" s="848"/>
      <c r="S15" s="925" t="s">
        <v>274</v>
      </c>
      <c r="T15" s="925"/>
      <c r="U15" s="928"/>
      <c r="V15" s="928"/>
      <c r="W15" s="928"/>
      <c r="X15" s="225"/>
      <c r="Y15" s="225"/>
      <c r="Z15" s="225"/>
      <c r="AA15" s="225"/>
      <c r="AB15" s="225"/>
      <c r="AC15" s="225"/>
      <c r="AD15" s="225"/>
      <c r="AE15" s="225"/>
    </row>
    <row r="16" spans="1:31" s="220" customFormat="1" ht="12.75" customHeight="1" x14ac:dyDescent="0.2">
      <c r="A16" s="1092"/>
      <c r="B16" s="1090"/>
      <c r="C16" s="1090"/>
      <c r="D16" s="1090"/>
      <c r="E16" s="1090"/>
      <c r="F16" s="1090"/>
      <c r="G16" s="1091"/>
      <c r="H16" s="94"/>
      <c r="I16" s="31"/>
      <c r="J16" s="31"/>
      <c r="K16" s="861"/>
      <c r="L16" s="861"/>
      <c r="M16" s="861"/>
      <c r="N16" s="861"/>
      <c r="O16" s="94"/>
      <c r="P16" s="94"/>
      <c r="Q16" s="94"/>
      <c r="R16" s="423"/>
      <c r="S16" s="925" t="s">
        <v>291</v>
      </c>
      <c r="T16" s="925"/>
      <c r="U16" s="928"/>
      <c r="V16" s="928"/>
      <c r="W16" s="928"/>
      <c r="X16" s="225"/>
      <c r="Y16" s="225"/>
      <c r="Z16" s="225"/>
      <c r="AA16" s="225"/>
      <c r="AB16" s="225"/>
      <c r="AC16" s="225"/>
      <c r="AD16" s="225"/>
      <c r="AE16" s="225"/>
    </row>
    <row r="17" spans="1:31" s="220" customFormat="1" ht="12.75" customHeight="1" x14ac:dyDescent="0.2">
      <c r="A17" s="1092"/>
      <c r="B17" s="1090"/>
      <c r="C17" s="1090"/>
      <c r="D17" s="1090"/>
      <c r="E17" s="1090"/>
      <c r="F17" s="1090"/>
      <c r="G17" s="1091"/>
      <c r="H17" s="94"/>
      <c r="I17" s="94"/>
      <c r="J17" s="94"/>
      <c r="K17" s="94"/>
      <c r="L17" s="94"/>
      <c r="M17" s="94"/>
      <c r="N17" s="31"/>
      <c r="O17" s="94"/>
      <c r="P17" s="94"/>
      <c r="Q17" s="94"/>
      <c r="R17" s="94"/>
      <c r="S17" s="925" t="s">
        <v>292</v>
      </c>
      <c r="T17" s="925"/>
      <c r="U17" s="928"/>
      <c r="V17" s="928"/>
      <c r="W17" s="928"/>
      <c r="X17" s="225"/>
      <c r="Y17" s="225"/>
      <c r="Z17" s="225"/>
      <c r="AA17" s="225"/>
      <c r="AB17" s="225"/>
      <c r="AC17" s="225"/>
      <c r="AD17" s="225"/>
      <c r="AE17" s="225"/>
    </row>
    <row r="18" spans="1:31" s="220" customFormat="1" ht="12.75" customHeight="1" x14ac:dyDescent="0.2">
      <c r="A18" s="1092"/>
      <c r="B18" s="1090"/>
      <c r="C18" s="1090"/>
      <c r="D18" s="1090"/>
      <c r="E18" s="1090"/>
      <c r="F18" s="1090"/>
      <c r="G18" s="1091"/>
      <c r="H18" s="94"/>
      <c r="I18" s="939" t="s">
        <v>264</v>
      </c>
      <c r="J18" s="925"/>
      <c r="K18" s="862"/>
      <c r="L18" s="94"/>
      <c r="M18" s="94"/>
      <c r="N18" s="31"/>
      <c r="O18" s="94"/>
      <c r="P18" s="31"/>
      <c r="Q18" s="94"/>
      <c r="R18" s="94"/>
      <c r="S18" s="938"/>
      <c r="T18" s="925"/>
      <c r="U18" s="928"/>
      <c r="V18" s="928"/>
      <c r="W18" s="928"/>
      <c r="X18" s="225"/>
      <c r="Y18" s="225"/>
      <c r="Z18" s="225"/>
      <c r="AA18" s="225"/>
      <c r="AB18" s="225"/>
      <c r="AC18" s="225"/>
      <c r="AD18" s="225"/>
      <c r="AE18" s="225"/>
    </row>
    <row r="19" spans="1:31" s="220" customFormat="1" ht="12.75" customHeight="1" x14ac:dyDescent="0.2">
      <c r="A19" s="1092"/>
      <c r="B19" s="1090"/>
      <c r="C19" s="1090"/>
      <c r="D19" s="1090"/>
      <c r="E19" s="1090"/>
      <c r="F19" s="1090"/>
      <c r="G19" s="1091"/>
      <c r="H19" s="94"/>
      <c r="I19" s="934" t="s">
        <v>265</v>
      </c>
      <c r="J19" s="925"/>
      <c r="K19" s="862"/>
      <c r="L19" s="94"/>
      <c r="M19" s="94"/>
      <c r="N19" s="94"/>
      <c r="O19" s="94"/>
      <c r="P19" s="31"/>
      <c r="Q19" s="94"/>
      <c r="R19" s="94"/>
      <c r="S19" s="907" t="s">
        <v>275</v>
      </c>
      <c r="T19" s="925"/>
      <c r="U19" s="928"/>
      <c r="V19" s="928"/>
      <c r="W19" s="928"/>
      <c r="X19" s="225"/>
      <c r="Y19" s="225"/>
      <c r="Z19" s="225"/>
      <c r="AA19" s="225"/>
      <c r="AB19" s="225"/>
      <c r="AC19" s="225"/>
      <c r="AD19" s="225"/>
      <c r="AE19" s="225"/>
    </row>
    <row r="20" spans="1:31" s="220" customFormat="1" ht="12.75" customHeight="1" x14ac:dyDescent="0.2">
      <c r="A20" s="1092"/>
      <c r="B20" s="1090"/>
      <c r="C20" s="1090"/>
      <c r="D20" s="1090"/>
      <c r="E20" s="1090"/>
      <c r="F20" s="1090"/>
      <c r="G20" s="1091"/>
      <c r="H20" s="94"/>
      <c r="I20" s="940" t="s">
        <v>266</v>
      </c>
      <c r="J20" s="925"/>
      <c r="K20" s="94"/>
      <c r="L20" s="94"/>
      <c r="M20" s="94"/>
      <c r="N20" s="94"/>
      <c r="O20" s="94"/>
      <c r="P20" s="31"/>
      <c r="Q20" s="94"/>
      <c r="R20" s="94"/>
      <c r="S20" s="934" t="s">
        <v>276</v>
      </c>
      <c r="T20" s="925"/>
      <c r="U20" s="928"/>
      <c r="V20" s="928"/>
      <c r="W20" s="928"/>
      <c r="X20" s="225"/>
      <c r="Y20" s="225"/>
      <c r="Z20" s="225"/>
      <c r="AA20" s="225"/>
      <c r="AB20" s="225"/>
      <c r="AC20" s="225"/>
      <c r="AD20" s="225"/>
      <c r="AE20" s="225"/>
    </row>
    <row r="21" spans="1:31" s="220" customFormat="1" ht="12.75" customHeight="1" x14ac:dyDescent="0.2">
      <c r="A21" s="1092"/>
      <c r="B21" s="1090"/>
      <c r="C21" s="1090"/>
      <c r="D21" s="1090"/>
      <c r="E21" s="1090"/>
      <c r="F21" s="1090"/>
      <c r="G21" s="1091"/>
      <c r="H21" s="94"/>
      <c r="I21" s="940" t="s">
        <v>267</v>
      </c>
      <c r="J21" s="925"/>
      <c r="K21" s="94"/>
      <c r="L21" s="94"/>
      <c r="M21" s="94"/>
      <c r="N21" s="94"/>
      <c r="O21" s="94"/>
      <c r="P21" s="31"/>
      <c r="Q21" s="94"/>
      <c r="R21" s="94"/>
      <c r="S21" s="934" t="s">
        <v>277</v>
      </c>
      <c r="T21" s="925"/>
      <c r="U21" s="928"/>
      <c r="V21" s="928"/>
      <c r="W21" s="928"/>
      <c r="X21" s="225"/>
      <c r="Y21" s="225"/>
      <c r="Z21" s="225"/>
      <c r="AA21" s="225"/>
      <c r="AB21" s="225"/>
      <c r="AC21" s="225"/>
      <c r="AD21" s="225"/>
      <c r="AE21" s="225"/>
    </row>
    <row r="22" spans="1:31" s="220" customFormat="1" ht="12.75" customHeight="1" x14ac:dyDescent="0.2">
      <c r="A22" s="1092"/>
      <c r="B22" s="1090"/>
      <c r="C22" s="1090"/>
      <c r="D22" s="1090"/>
      <c r="E22" s="1090"/>
      <c r="F22" s="1090"/>
      <c r="G22" s="1091"/>
      <c r="H22" s="94"/>
      <c r="I22" s="934" t="s">
        <v>268</v>
      </c>
      <c r="J22" s="925"/>
      <c r="K22" s="94"/>
      <c r="L22" s="94"/>
      <c r="M22" s="94"/>
      <c r="N22" s="94"/>
      <c r="O22" s="94"/>
      <c r="P22" s="94"/>
      <c r="Q22" s="94"/>
      <c r="R22" s="94"/>
      <c r="S22" s="934" t="s">
        <v>278</v>
      </c>
      <c r="T22" s="925"/>
      <c r="U22" s="928"/>
      <c r="V22" s="928"/>
      <c r="W22" s="928"/>
      <c r="X22" s="225"/>
      <c r="Y22" s="225"/>
      <c r="Z22" s="225"/>
      <c r="AA22" s="225"/>
      <c r="AB22" s="225"/>
      <c r="AC22" s="225"/>
      <c r="AD22" s="225"/>
      <c r="AE22" s="225"/>
    </row>
    <row r="23" spans="1:31" s="222" customFormat="1" ht="12.75" customHeight="1" x14ac:dyDescent="0.2">
      <c r="A23" s="1093"/>
      <c r="B23" s="1094"/>
      <c r="C23" s="1094"/>
      <c r="D23" s="1094"/>
      <c r="E23" s="1094"/>
      <c r="F23" s="1094"/>
      <c r="G23" s="1095"/>
      <c r="H23" s="94"/>
      <c r="I23" s="94"/>
      <c r="J23" s="94"/>
      <c r="K23" s="94"/>
      <c r="L23" s="94"/>
      <c r="M23" s="94"/>
      <c r="N23" s="94"/>
      <c r="O23" s="94"/>
      <c r="P23" s="94"/>
      <c r="Q23" s="94"/>
      <c r="R23" s="94"/>
      <c r="S23" s="94"/>
      <c r="T23" s="94"/>
      <c r="U23" s="225"/>
      <c r="V23" s="225"/>
      <c r="W23" s="225"/>
      <c r="X23" s="225"/>
      <c r="Y23" s="225"/>
      <c r="Z23" s="225"/>
      <c r="AA23" s="225"/>
      <c r="AB23" s="225"/>
      <c r="AC23" s="225"/>
      <c r="AD23" s="225"/>
      <c r="AE23" s="225"/>
    </row>
    <row r="24" spans="1:31" s="230" customFormat="1" ht="27.75" customHeight="1" x14ac:dyDescent="0.2">
      <c r="A24" s="1168"/>
      <c r="B24" s="1169"/>
      <c r="C24" s="1169"/>
      <c r="D24" s="1169"/>
      <c r="E24" s="1169"/>
      <c r="F24" s="1169"/>
      <c r="G24" s="1170"/>
      <c r="H24" s="84"/>
      <c r="I24" s="26" t="s">
        <v>269</v>
      </c>
      <c r="J24" s="84"/>
      <c r="K24" s="84"/>
      <c r="L24" s="84"/>
      <c r="M24" s="84"/>
      <c r="N24" s="84"/>
      <c r="O24" s="84"/>
      <c r="P24" s="84"/>
      <c r="Q24" s="84"/>
      <c r="R24" s="84"/>
      <c r="S24" s="26" t="s">
        <v>279</v>
      </c>
      <c r="T24" s="84"/>
      <c r="U24" s="234"/>
      <c r="V24" s="234"/>
      <c r="W24" s="234"/>
      <c r="X24" s="234"/>
      <c r="Y24" s="234"/>
      <c r="Z24" s="234"/>
      <c r="AA24" s="234"/>
      <c r="AB24" s="234"/>
      <c r="AC24" s="234"/>
      <c r="AD24" s="234"/>
      <c r="AE24" s="234"/>
    </row>
    <row r="25" spans="1:31" s="231" customFormat="1" ht="48" x14ac:dyDescent="0.2">
      <c r="A25" s="832" t="str">
        <f>'30 abitazione'!B10</f>
        <v>Costi computabili</v>
      </c>
      <c r="B25" s="833" t="s">
        <v>249</v>
      </c>
      <c r="C25" s="644" t="s">
        <v>158</v>
      </c>
      <c r="D25" s="22" t="s">
        <v>256</v>
      </c>
      <c r="E25" s="833" t="s">
        <v>140</v>
      </c>
      <c r="F25" s="833" t="s">
        <v>201</v>
      </c>
      <c r="G25" s="719" t="s">
        <v>138</v>
      </c>
      <c r="H25" s="645"/>
      <c r="I25" s="1167" t="str">
        <f>I11</f>
        <v>Numero e provvedimento</v>
      </c>
      <c r="J25" s="1167"/>
      <c r="K25" s="646" t="s">
        <v>184</v>
      </c>
      <c r="L25" s="646" t="s">
        <v>202</v>
      </c>
      <c r="M25" s="646" t="s">
        <v>203</v>
      </c>
      <c r="N25" s="646" t="s">
        <v>204</v>
      </c>
      <c r="O25" s="646" t="s">
        <v>205</v>
      </c>
      <c r="P25" s="646" t="s">
        <v>206</v>
      </c>
      <c r="Q25" s="647" t="s">
        <v>207</v>
      </c>
      <c r="R25" s="645"/>
      <c r="S25" s="719" t="s">
        <v>208</v>
      </c>
      <c r="T25" s="646" t="s">
        <v>184</v>
      </c>
      <c r="U25" s="646" t="s">
        <v>202</v>
      </c>
      <c r="V25" s="646" t="s">
        <v>203</v>
      </c>
      <c r="W25" s="646" t="s">
        <v>204</v>
      </c>
      <c r="X25" s="646" t="s">
        <v>205</v>
      </c>
      <c r="Y25" s="646" t="s">
        <v>206</v>
      </c>
      <c r="Z25" s="863" t="s">
        <v>293</v>
      </c>
      <c r="AA25" s="675" t="s">
        <v>60</v>
      </c>
      <c r="AD25" s="645"/>
      <c r="AE25" s="645"/>
    </row>
    <row r="26" spans="1:31" s="650" customFormat="1" ht="15.75" x14ac:dyDescent="0.25">
      <c r="A26" s="455"/>
      <c r="B26" s="754"/>
      <c r="C26" s="648">
        <f>SUM(C29:C30)</f>
        <v>0</v>
      </c>
      <c r="D26" s="720"/>
      <c r="E26" s="173">
        <f>+A26-C26-D26</f>
        <v>0</v>
      </c>
      <c r="F26" s="754"/>
      <c r="G26" s="588">
        <f>IF(B11=I15,0,ROUNDDOWN(E26*F26/100,0))</f>
        <v>0</v>
      </c>
      <c r="H26" s="234"/>
      <c r="I26" s="1162">
        <f>I12</f>
        <v>39</v>
      </c>
      <c r="J26" s="1162"/>
      <c r="K26" s="767">
        <v>0.27</v>
      </c>
      <c r="L26" s="767">
        <v>0.3</v>
      </c>
      <c r="M26" s="649">
        <v>0.3</v>
      </c>
      <c r="N26" s="649">
        <v>0.33</v>
      </c>
      <c r="O26" s="649">
        <v>0.33</v>
      </c>
      <c r="P26" s="649">
        <v>0.33</v>
      </c>
      <c r="Q26" s="649">
        <v>0.33</v>
      </c>
      <c r="R26" s="234"/>
      <c r="S26" s="673">
        <f>ROUNDDOWN(T26*K26+U26*L26+V26*M26+W26*N26+X26*O26+Y26*P26+Z26*Q26,4)</f>
        <v>0</v>
      </c>
      <c r="T26" s="764"/>
      <c r="U26" s="764"/>
      <c r="V26" s="764"/>
      <c r="W26" s="764"/>
      <c r="X26" s="764"/>
      <c r="Y26" s="764"/>
      <c r="Z26" s="764"/>
      <c r="AA26" s="766">
        <f>SUM(T26:Z26)</f>
        <v>0</v>
      </c>
      <c r="AB26" s="731" t="str">
        <f>IF(AA26=0,"",IF(AA26&gt;1,$S$16,IF(AA26=1,"",$S$17)))</f>
        <v/>
      </c>
      <c r="AD26" s="234"/>
      <c r="AE26" s="234"/>
    </row>
    <row r="27" spans="1:31" s="232" customFormat="1" x14ac:dyDescent="0.2">
      <c r="A27" s="651"/>
      <c r="B27" s="652"/>
      <c r="C27" s="174"/>
      <c r="D27" s="695"/>
      <c r="E27" s="695"/>
      <c r="F27" s="652"/>
      <c r="G27" s="174"/>
      <c r="H27" s="234"/>
      <c r="I27" s="1162">
        <f>I13</f>
        <v>46</v>
      </c>
      <c r="J27" s="1162"/>
      <c r="K27" s="767" t="s">
        <v>59</v>
      </c>
      <c r="L27" s="767" t="s">
        <v>59</v>
      </c>
      <c r="M27" s="649">
        <v>0.3</v>
      </c>
      <c r="N27" s="649">
        <v>0.33</v>
      </c>
      <c r="O27" s="649">
        <v>0.33</v>
      </c>
      <c r="P27" s="649">
        <v>0.33</v>
      </c>
      <c r="Q27" s="649">
        <v>0.33</v>
      </c>
      <c r="R27" s="234"/>
      <c r="S27" s="673">
        <f>ROUNDDOWN(T27*K27+U27*L27+V27*M27+W27*N27+X27*O27+Y27*P27+Z27*Q27,4)</f>
        <v>0</v>
      </c>
      <c r="T27" s="765"/>
      <c r="U27" s="765"/>
      <c r="V27" s="764"/>
      <c r="W27" s="764"/>
      <c r="X27" s="764"/>
      <c r="Y27" s="764"/>
      <c r="Z27" s="764"/>
      <c r="AA27" s="766">
        <f t="shared" ref="AA27:AA29" si="0">SUM(T27:Z27)</f>
        <v>0</v>
      </c>
      <c r="AB27" s="731" t="str">
        <f t="shared" ref="AB27:AB29" si="1">IF(AA27=0,"",IF(AA27&gt;1,$S$16,IF(AA27=1,"",$S$17)))</f>
        <v/>
      </c>
      <c r="AD27" s="234"/>
      <c r="AE27" s="234"/>
    </row>
    <row r="28" spans="1:31" s="225" customFormat="1" ht="17.25" customHeight="1" x14ac:dyDescent="0.2">
      <c r="A28" s="653" t="s">
        <v>137</v>
      </c>
      <c r="B28" s="654"/>
      <c r="C28" s="655">
        <f>C26</f>
        <v>0</v>
      </c>
      <c r="D28" s="656"/>
      <c r="E28" s="657"/>
      <c r="F28" s="654"/>
      <c r="G28" s="587">
        <f>G26</f>
        <v>0</v>
      </c>
      <c r="I28" s="1162">
        <f>I14</f>
        <v>49</v>
      </c>
      <c r="J28" s="1162"/>
      <c r="K28" s="767" t="s">
        <v>59</v>
      </c>
      <c r="L28" s="767" t="s">
        <v>59</v>
      </c>
      <c r="M28" s="649">
        <v>0.28000000000000003</v>
      </c>
      <c r="N28" s="649">
        <v>0.31</v>
      </c>
      <c r="O28" s="649">
        <v>0.31</v>
      </c>
      <c r="P28" s="649">
        <v>0.31</v>
      </c>
      <c r="Q28" s="649">
        <v>0.31</v>
      </c>
      <c r="S28" s="673">
        <f>ROUNDDOWN(T28*K28+U28*L28+V28*M28+W28*N28+X28*O28+Y28*P28+Z28*Q28,4)</f>
        <v>0</v>
      </c>
      <c r="T28" s="764"/>
      <c r="U28" s="764"/>
      <c r="V28" s="764"/>
      <c r="W28" s="764"/>
      <c r="X28" s="764"/>
      <c r="Y28" s="764"/>
      <c r="Z28" s="764"/>
      <c r="AA28" s="766">
        <f t="shared" si="0"/>
        <v>0</v>
      </c>
      <c r="AB28" s="731" t="str">
        <f t="shared" si="1"/>
        <v/>
      </c>
    </row>
    <row r="29" spans="1:31" s="225" customFormat="1" ht="15.75" x14ac:dyDescent="0.2">
      <c r="A29" s="1182" t="s">
        <v>177</v>
      </c>
      <c r="B29" s="834" t="s">
        <v>178</v>
      </c>
      <c r="C29" s="670">
        <f>ROUNDDOWN(B26*A26/100,0)</f>
        <v>0</v>
      </c>
      <c r="D29" s="700"/>
      <c r="E29" s="658"/>
      <c r="F29" s="659"/>
      <c r="G29" s="691"/>
      <c r="I29" s="1162">
        <f>I15</f>
        <v>82</v>
      </c>
      <c r="J29" s="1162"/>
      <c r="K29" s="649">
        <v>0.27</v>
      </c>
      <c r="L29" s="649">
        <v>0.3</v>
      </c>
      <c r="M29" s="649">
        <v>0.3</v>
      </c>
      <c r="N29" s="649">
        <v>0.33</v>
      </c>
      <c r="O29" s="649">
        <v>0.33</v>
      </c>
      <c r="P29" s="649">
        <v>0.33</v>
      </c>
      <c r="Q29" s="649">
        <v>0.33</v>
      </c>
      <c r="S29" s="673">
        <f>ROUNDDOWN(T29*K29+U29*L29+V29*M29+W29*N29+X29*O29+Y29*P29+Z29*Q29,4)</f>
        <v>0</v>
      </c>
      <c r="T29" s="764"/>
      <c r="U29" s="764"/>
      <c r="V29" s="764"/>
      <c r="W29" s="764"/>
      <c r="X29" s="764"/>
      <c r="Y29" s="764"/>
      <c r="Z29" s="764"/>
      <c r="AA29" s="766">
        <f t="shared" si="0"/>
        <v>0</v>
      </c>
      <c r="AB29" s="731" t="str">
        <f t="shared" si="1"/>
        <v/>
      </c>
    </row>
    <row r="30" spans="1:31" s="222" customFormat="1" ht="15.75" customHeight="1" x14ac:dyDescent="0.2">
      <c r="A30" s="1183"/>
      <c r="B30" s="835" t="s">
        <v>179</v>
      </c>
      <c r="C30" s="667" t="str">
        <f>IF(B26="","",C29*F8/100)</f>
        <v/>
      </c>
      <c r="D30" s="1191" t="str">
        <f>IF(C30="","",IF(OR(AND(B11=I12,C30/C29&gt;=0.9),AND(B11=I13,C30/C29&gt;=0.9),AND(B11=I14,C30/C29&gt;=1),AND(B11=I15,C30/C29&gt;=0.9)),"",S13))</f>
        <v/>
      </c>
      <c r="E30" s="1192"/>
      <c r="F30" s="1192"/>
      <c r="G30" s="1193"/>
      <c r="H30" s="225"/>
      <c r="I30" s="1161" t="s">
        <v>270</v>
      </c>
      <c r="J30" s="1161"/>
      <c r="K30" s="1161"/>
      <c r="L30" s="1161"/>
      <c r="M30" s="1161"/>
      <c r="N30" s="1161"/>
      <c r="O30" s="1161"/>
      <c r="P30" s="1161"/>
      <c r="Q30" s="1161"/>
      <c r="R30" s="1161"/>
      <c r="S30" s="1161"/>
      <c r="T30" s="1161"/>
      <c r="U30" s="1161"/>
      <c r="V30" s="1161"/>
      <c r="W30" s="1161"/>
      <c r="X30" s="1161"/>
      <c r="Y30" s="1161"/>
      <c r="Z30" s="1161"/>
      <c r="AA30" s="671"/>
      <c r="AB30" s="672"/>
      <c r="AD30" s="225"/>
      <c r="AE30" s="225"/>
    </row>
    <row r="31" spans="1:31" s="222" customFormat="1" ht="26.25" customHeight="1" x14ac:dyDescent="0.2">
      <c r="A31" s="236"/>
      <c r="B31" s="236"/>
      <c r="C31" s="236"/>
      <c r="D31" s="236"/>
      <c r="E31" s="660"/>
      <c r="F31" s="661"/>
      <c r="G31" s="662"/>
      <c r="H31" s="225"/>
      <c r="I31" s="674"/>
      <c r="J31" s="674"/>
      <c r="K31" s="674"/>
      <c r="L31" s="674"/>
      <c r="M31" s="674"/>
      <c r="N31" s="674"/>
      <c r="O31" s="674"/>
      <c r="P31" s="674"/>
      <c r="Q31" s="674"/>
      <c r="R31" s="225"/>
      <c r="S31" s="24" t="s">
        <v>294</v>
      </c>
      <c r="T31" s="225"/>
      <c r="U31" s="225"/>
      <c r="V31" s="225"/>
      <c r="W31" s="225"/>
      <c r="X31" s="225"/>
      <c r="Y31" s="225"/>
      <c r="Z31" s="225"/>
      <c r="AA31" s="225"/>
      <c r="AB31" s="225"/>
      <c r="AC31" s="225"/>
      <c r="AD31" s="225"/>
      <c r="AE31" s="225"/>
    </row>
    <row r="32" spans="1:31" s="222" customFormat="1" ht="12.75" customHeight="1" x14ac:dyDescent="0.2">
      <c r="A32" s="1172" t="s">
        <v>83</v>
      </c>
      <c r="B32" s="1173"/>
      <c r="C32" s="1173"/>
      <c r="D32" s="1173"/>
      <c r="E32" s="1173"/>
      <c r="F32" s="1173"/>
      <c r="G32" s="1174"/>
      <c r="H32" s="225"/>
      <c r="I32" s="674"/>
      <c r="J32" s="674"/>
      <c r="K32" s="674"/>
      <c r="L32" s="674"/>
      <c r="M32" s="674"/>
      <c r="N32" s="674"/>
      <c r="O32" s="674"/>
      <c r="P32" s="674"/>
      <c r="Q32" s="674"/>
      <c r="R32" s="225"/>
      <c r="S32" s="1190" t="s">
        <v>137</v>
      </c>
      <c r="T32" s="1188" t="s">
        <v>184</v>
      </c>
      <c r="U32" s="1186" t="s">
        <v>202</v>
      </c>
      <c r="V32" s="1186" t="s">
        <v>203</v>
      </c>
      <c r="W32" s="1186" t="s">
        <v>204</v>
      </c>
      <c r="X32" s="1186" t="s">
        <v>205</v>
      </c>
      <c r="Y32" s="1186" t="s">
        <v>206</v>
      </c>
      <c r="Z32" s="1184" t="s">
        <v>293</v>
      </c>
      <c r="AA32" s="225"/>
      <c r="AB32" s="225"/>
      <c r="AC32" s="225"/>
      <c r="AD32" s="225"/>
      <c r="AE32" s="225"/>
    </row>
    <row r="33" spans="1:31" s="222" customFormat="1" ht="12.75" customHeight="1" x14ac:dyDescent="0.2">
      <c r="A33" s="1092"/>
      <c r="B33" s="1090"/>
      <c r="C33" s="1090"/>
      <c r="D33" s="1090"/>
      <c r="E33" s="1090"/>
      <c r="F33" s="1090"/>
      <c r="G33" s="1091"/>
      <c r="H33" s="225"/>
      <c r="I33" s="1161" t="s">
        <v>224</v>
      </c>
      <c r="J33" s="1161"/>
      <c r="K33" s="1161"/>
      <c r="L33" s="1161"/>
      <c r="M33" s="1161"/>
      <c r="N33" s="1161"/>
      <c r="O33" s="1161"/>
      <c r="P33" s="1161"/>
      <c r="Q33" s="1161"/>
      <c r="R33" s="225"/>
      <c r="S33" s="1190"/>
      <c r="T33" s="1189"/>
      <c r="U33" s="1187"/>
      <c r="V33" s="1187"/>
      <c r="W33" s="1187"/>
      <c r="X33" s="1187"/>
      <c r="Y33" s="1187"/>
      <c r="Z33" s="1185"/>
      <c r="AA33" s="225"/>
      <c r="AB33" s="225"/>
      <c r="AC33" s="225"/>
      <c r="AD33" s="225"/>
      <c r="AE33" s="225"/>
    </row>
    <row r="34" spans="1:31" s="222" customFormat="1" ht="15.75" x14ac:dyDescent="0.2">
      <c r="A34" s="1092"/>
      <c r="B34" s="1090"/>
      <c r="C34" s="1090"/>
      <c r="D34" s="1090"/>
      <c r="E34" s="1090"/>
      <c r="F34" s="1090"/>
      <c r="G34" s="1091"/>
      <c r="H34" s="225"/>
      <c r="I34" s="1161"/>
      <c r="J34" s="1161"/>
      <c r="K34" s="1161"/>
      <c r="L34" s="1161"/>
      <c r="M34" s="1161"/>
      <c r="N34" s="1161"/>
      <c r="O34" s="1161"/>
      <c r="P34" s="1161"/>
      <c r="Q34" s="1161"/>
      <c r="R34" s="225"/>
      <c r="S34" s="677">
        <f>SUM(T34:Z34)</f>
        <v>0</v>
      </c>
      <c r="T34" s="753"/>
      <c r="U34" s="753"/>
      <c r="V34" s="753"/>
      <c r="W34" s="753"/>
      <c r="X34" s="753"/>
      <c r="Y34" s="753"/>
      <c r="Z34" s="753"/>
      <c r="AA34" s="225"/>
      <c r="AB34" s="225"/>
      <c r="AC34" s="225"/>
      <c r="AD34" s="225"/>
      <c r="AE34" s="225"/>
    </row>
    <row r="35" spans="1:31" s="222" customFormat="1" ht="15.75" x14ac:dyDescent="0.2">
      <c r="A35" s="1092"/>
      <c r="B35" s="1090"/>
      <c r="C35" s="1090"/>
      <c r="D35" s="1090"/>
      <c r="E35" s="1090"/>
      <c r="F35" s="1090"/>
      <c r="G35" s="1091"/>
      <c r="H35" s="225"/>
      <c r="I35" s="1161"/>
      <c r="J35" s="1161"/>
      <c r="K35" s="1161"/>
      <c r="L35" s="1161"/>
      <c r="M35" s="1161"/>
      <c r="N35" s="1161"/>
      <c r="O35" s="1161"/>
      <c r="P35" s="1161"/>
      <c r="Q35" s="1161"/>
      <c r="R35" s="225"/>
      <c r="S35" s="676">
        <f>T35+U35+V35+W35+X35+Y35+Z35</f>
        <v>0</v>
      </c>
      <c r="T35" s="678">
        <f>IF(T34="",0,T34/$S$34)</f>
        <v>0</v>
      </c>
      <c r="U35" s="678">
        <f t="shared" ref="U35:Z35" si="2">IF(U34="",0,U34/$S$34)</f>
        <v>0</v>
      </c>
      <c r="V35" s="678">
        <f t="shared" si="2"/>
        <v>0</v>
      </c>
      <c r="W35" s="678">
        <f t="shared" si="2"/>
        <v>0</v>
      </c>
      <c r="X35" s="678">
        <f t="shared" si="2"/>
        <v>0</v>
      </c>
      <c r="Y35" s="678">
        <f t="shared" si="2"/>
        <v>0</v>
      </c>
      <c r="Z35" s="678">
        <f t="shared" si="2"/>
        <v>0</v>
      </c>
      <c r="AA35" s="225"/>
      <c r="AB35" s="225"/>
      <c r="AC35" s="225"/>
      <c r="AD35" s="225"/>
      <c r="AE35" s="225"/>
    </row>
    <row r="36" spans="1:31" s="222" customFormat="1" ht="12.75" customHeight="1" x14ac:dyDescent="0.2">
      <c r="A36" s="1092"/>
      <c r="B36" s="1090"/>
      <c r="C36" s="1090"/>
      <c r="D36" s="1090"/>
      <c r="E36" s="1090"/>
      <c r="F36" s="1090"/>
      <c r="G36" s="1091"/>
      <c r="H36" s="225"/>
      <c r="I36" s="1161"/>
      <c r="J36" s="1161"/>
      <c r="K36" s="1161"/>
      <c r="L36" s="1161"/>
      <c r="M36" s="1161"/>
      <c r="N36" s="1161"/>
      <c r="O36" s="1161"/>
      <c r="P36" s="1161"/>
      <c r="Q36" s="1161"/>
      <c r="R36" s="225"/>
      <c r="U36" s="225"/>
      <c r="V36" s="225"/>
      <c r="W36" s="225"/>
      <c r="X36" s="225"/>
      <c r="Y36" s="225"/>
      <c r="Z36" s="225"/>
      <c r="AA36" s="225"/>
      <c r="AB36" s="225"/>
      <c r="AC36" s="225"/>
      <c r="AD36" s="225"/>
      <c r="AE36" s="225"/>
    </row>
    <row r="37" spans="1:31" s="222" customFormat="1" ht="12.75" customHeight="1" x14ac:dyDescent="0.2">
      <c r="A37" s="1092"/>
      <c r="B37" s="1090"/>
      <c r="C37" s="1090"/>
      <c r="D37" s="1090"/>
      <c r="E37" s="1090"/>
      <c r="F37" s="1090"/>
      <c r="G37" s="1091"/>
      <c r="H37" s="225"/>
      <c r="I37" s="1161"/>
      <c r="J37" s="1161"/>
      <c r="K37" s="1161"/>
      <c r="L37" s="1161"/>
      <c r="M37" s="1161"/>
      <c r="N37" s="1161"/>
      <c r="O37" s="1161"/>
      <c r="P37" s="1161"/>
      <c r="Q37" s="1161"/>
      <c r="R37" s="225"/>
      <c r="S37" s="225"/>
      <c r="T37" s="225"/>
      <c r="U37" s="225"/>
      <c r="V37" s="225"/>
      <c r="W37" s="225"/>
      <c r="X37" s="225"/>
      <c r="Y37" s="225"/>
      <c r="Z37" s="225"/>
      <c r="AA37" s="225"/>
      <c r="AB37" s="225"/>
      <c r="AC37" s="225"/>
      <c r="AD37" s="225"/>
      <c r="AE37" s="225"/>
    </row>
    <row r="38" spans="1:31" s="222" customFormat="1" ht="15.75" x14ac:dyDescent="0.2">
      <c r="A38" s="1092"/>
      <c r="B38" s="1090"/>
      <c r="C38" s="1090"/>
      <c r="D38" s="1090"/>
      <c r="E38" s="1090"/>
      <c r="F38" s="1090"/>
      <c r="G38" s="1091"/>
      <c r="H38" s="225"/>
      <c r="I38" s="1161"/>
      <c r="J38" s="1161"/>
      <c r="K38" s="1161"/>
      <c r="L38" s="1161"/>
      <c r="M38" s="1161"/>
      <c r="N38" s="1161"/>
      <c r="O38" s="1161"/>
      <c r="P38" s="1161"/>
      <c r="Q38" s="1161"/>
      <c r="R38" s="225"/>
      <c r="S38" s="225"/>
      <c r="T38" s="225"/>
      <c r="U38" s="225"/>
      <c r="V38" s="225"/>
      <c r="W38" s="225"/>
      <c r="X38" s="225"/>
      <c r="Y38" s="225"/>
      <c r="Z38" s="225"/>
      <c r="AA38" s="225"/>
      <c r="AB38" s="225"/>
      <c r="AC38" s="225"/>
      <c r="AD38" s="225"/>
      <c r="AE38" s="225"/>
    </row>
    <row r="39" spans="1:31" s="222" customFormat="1" ht="18.75" customHeight="1" x14ac:dyDescent="0.2">
      <c r="A39" s="1092"/>
      <c r="B39" s="1090"/>
      <c r="C39" s="1090"/>
      <c r="D39" s="1090"/>
      <c r="E39" s="1090"/>
      <c r="F39" s="1090"/>
      <c r="G39" s="1091"/>
      <c r="H39" s="225"/>
      <c r="I39" s="1161"/>
      <c r="J39" s="1161"/>
      <c r="K39" s="1161"/>
      <c r="L39" s="1161"/>
      <c r="M39" s="1161"/>
      <c r="N39" s="1161"/>
      <c r="O39" s="1161"/>
      <c r="P39" s="1161"/>
      <c r="Q39" s="1161"/>
      <c r="R39" s="225"/>
      <c r="S39" s="225"/>
      <c r="T39" s="225"/>
      <c r="U39" s="225"/>
      <c r="V39" s="225"/>
      <c r="W39" s="225"/>
      <c r="X39" s="225"/>
      <c r="Y39" s="225"/>
      <c r="Z39" s="225"/>
      <c r="AA39" s="225"/>
      <c r="AB39" s="225"/>
      <c r="AC39" s="225"/>
      <c r="AD39" s="225"/>
      <c r="AE39" s="225"/>
    </row>
    <row r="40" spans="1:31" s="222" customFormat="1" ht="12.75" customHeight="1" x14ac:dyDescent="0.2">
      <c r="A40" s="1092"/>
      <c r="B40" s="1090"/>
      <c r="C40" s="1090"/>
      <c r="D40" s="1090"/>
      <c r="E40" s="1090"/>
      <c r="F40" s="1090"/>
      <c r="G40" s="1091"/>
      <c r="H40" s="225"/>
      <c r="I40" s="669"/>
      <c r="J40" s="669"/>
      <c r="K40" s="669"/>
      <c r="L40" s="669"/>
      <c r="M40" s="669"/>
      <c r="N40" s="669"/>
      <c r="O40" s="669"/>
      <c r="P40" s="669"/>
      <c r="Q40" s="669"/>
      <c r="R40" s="225"/>
      <c r="S40" s="225"/>
      <c r="T40" s="225"/>
      <c r="U40" s="225"/>
      <c r="V40" s="225"/>
      <c r="W40" s="225"/>
      <c r="X40" s="225"/>
      <c r="Y40" s="225"/>
      <c r="Z40" s="225"/>
      <c r="AA40" s="225"/>
      <c r="AB40" s="225"/>
      <c r="AC40" s="225"/>
      <c r="AD40" s="225"/>
      <c r="AE40" s="225"/>
    </row>
    <row r="41" spans="1:31" s="222" customFormat="1" ht="12.75" customHeight="1" x14ac:dyDescent="0.2">
      <c r="A41" s="1093"/>
      <c r="B41" s="1094"/>
      <c r="C41" s="1094"/>
      <c r="D41" s="1094"/>
      <c r="E41" s="1094"/>
      <c r="F41" s="1094"/>
      <c r="G41" s="1095"/>
      <c r="H41" s="225"/>
      <c r="I41" s="669"/>
      <c r="J41" s="669"/>
      <c r="K41" s="669"/>
      <c r="L41" s="669"/>
      <c r="M41" s="669"/>
      <c r="N41" s="669"/>
      <c r="O41" s="669"/>
      <c r="P41" s="669"/>
      <c r="Q41" s="669"/>
      <c r="R41" s="225"/>
      <c r="S41" s="225"/>
      <c r="T41" s="225"/>
      <c r="U41" s="225"/>
      <c r="V41" s="225"/>
      <c r="W41" s="225"/>
      <c r="X41" s="225"/>
      <c r="Y41" s="225"/>
      <c r="Z41" s="225"/>
      <c r="AA41" s="225"/>
      <c r="AB41" s="225"/>
      <c r="AC41" s="225"/>
      <c r="AD41" s="225"/>
      <c r="AE41" s="225"/>
    </row>
    <row r="42" spans="1:31" s="230" customFormat="1" ht="15" customHeight="1" x14ac:dyDescent="0.2">
      <c r="A42" s="235"/>
      <c r="B42" s="235"/>
      <c r="C42" s="235"/>
      <c r="D42" s="235"/>
      <c r="E42" s="235"/>
      <c r="F42" s="235"/>
      <c r="G42" s="234"/>
      <c r="H42" s="234"/>
      <c r="I42" s="669"/>
      <c r="J42" s="669"/>
      <c r="K42" s="669"/>
      <c r="L42" s="669"/>
      <c r="M42" s="669"/>
      <c r="N42" s="669"/>
      <c r="O42" s="669"/>
      <c r="P42" s="669"/>
      <c r="Q42" s="669"/>
      <c r="R42" s="234"/>
      <c r="S42" s="234"/>
      <c r="T42" s="234"/>
      <c r="U42" s="234"/>
      <c r="V42" s="234"/>
      <c r="W42" s="234"/>
      <c r="X42" s="234"/>
      <c r="Y42" s="234"/>
      <c r="Z42" s="234"/>
      <c r="AA42" s="234"/>
      <c r="AB42" s="234"/>
      <c r="AC42" s="234"/>
      <c r="AD42" s="234"/>
      <c r="AE42" s="234"/>
    </row>
    <row r="43" spans="1:31" s="231" customFormat="1" ht="15.75" x14ac:dyDescent="0.2">
      <c r="A43" s="237"/>
      <c r="B43" s="238"/>
      <c r="C43" s="238"/>
      <c r="D43" s="238"/>
      <c r="E43" s="237"/>
      <c r="F43" s="238"/>
      <c r="G43" s="234"/>
      <c r="H43" s="645"/>
      <c r="I43" s="669"/>
      <c r="J43" s="669"/>
      <c r="K43" s="669"/>
      <c r="L43" s="669"/>
      <c r="M43" s="669"/>
      <c r="N43" s="669"/>
      <c r="O43" s="669"/>
      <c r="P43" s="669"/>
      <c r="Q43" s="669"/>
      <c r="R43" s="645"/>
      <c r="S43" s="645"/>
      <c r="T43" s="645"/>
      <c r="U43" s="645"/>
      <c r="V43" s="645"/>
      <c r="W43" s="645"/>
      <c r="X43" s="645"/>
      <c r="Y43" s="645"/>
      <c r="Z43" s="645"/>
    </row>
    <row r="44" spans="1:31" s="650" customFormat="1" ht="15.75" x14ac:dyDescent="0.25">
      <c r="A44" s="235"/>
      <c r="B44" s="235"/>
      <c r="C44" s="237"/>
      <c r="D44" s="238"/>
      <c r="E44" s="237"/>
      <c r="F44" s="238"/>
      <c r="G44" s="234"/>
      <c r="H44" s="234"/>
      <c r="K44" s="663"/>
      <c r="L44" s="234"/>
      <c r="M44" s="234"/>
      <c r="N44" s="234"/>
      <c r="O44" s="234"/>
      <c r="P44" s="234"/>
      <c r="Q44" s="234"/>
      <c r="R44" s="234"/>
      <c r="S44" s="234"/>
      <c r="T44" s="234"/>
      <c r="U44" s="234"/>
      <c r="V44" s="234"/>
      <c r="W44" s="234"/>
      <c r="X44" s="234"/>
      <c r="Y44" s="234"/>
      <c r="Z44" s="234"/>
    </row>
    <row r="45" spans="1:31" s="232" customFormat="1" ht="15.75" x14ac:dyDescent="0.2">
      <c r="A45" s="239"/>
      <c r="B45" s="240"/>
      <c r="C45" s="240"/>
      <c r="D45" s="241"/>
      <c r="E45" s="237"/>
      <c r="F45" s="237"/>
      <c r="G45" s="235"/>
      <c r="H45" s="234"/>
      <c r="I45" s="627"/>
      <c r="J45" s="23"/>
      <c r="K45" s="663"/>
      <c r="L45" s="234"/>
      <c r="M45" s="234"/>
      <c r="N45" s="234"/>
      <c r="O45" s="234"/>
      <c r="P45" s="234"/>
      <c r="Q45" s="234"/>
      <c r="R45" s="234"/>
      <c r="S45" s="234"/>
      <c r="T45" s="234"/>
      <c r="U45" s="234"/>
      <c r="V45" s="234"/>
      <c r="W45" s="234"/>
      <c r="X45" s="234"/>
      <c r="Y45" s="234"/>
      <c r="Z45" s="234"/>
    </row>
    <row r="46" spans="1:31" s="222" customFormat="1" ht="15.75" x14ac:dyDescent="0.25">
      <c r="A46" s="239"/>
      <c r="B46" s="239"/>
      <c r="C46" s="239"/>
      <c r="D46" s="241"/>
      <c r="E46" s="242"/>
      <c r="F46" s="237"/>
      <c r="G46" s="235"/>
      <c r="H46" s="225"/>
      <c r="I46" s="612"/>
      <c r="J46" s="664"/>
      <c r="K46" s="665"/>
      <c r="L46" s="225"/>
      <c r="M46" s="225"/>
      <c r="N46" s="225"/>
      <c r="O46" s="225"/>
      <c r="P46" s="225"/>
      <c r="Q46" s="225"/>
      <c r="R46" s="225"/>
      <c r="S46" s="225"/>
      <c r="T46" s="225"/>
      <c r="U46" s="225"/>
      <c r="V46" s="225"/>
      <c r="W46" s="225"/>
      <c r="X46" s="225"/>
      <c r="Y46" s="225"/>
      <c r="Z46" s="225"/>
    </row>
    <row r="47" spans="1:31" s="222" customFormat="1" ht="12.75" customHeight="1" x14ac:dyDescent="0.2">
      <c r="A47" s="239"/>
      <c r="B47" s="243"/>
      <c r="C47" s="243"/>
      <c r="D47" s="244"/>
      <c r="E47" s="242"/>
      <c r="F47" s="237"/>
      <c r="G47" s="235"/>
      <c r="H47" s="225"/>
      <c r="I47" s="666"/>
      <c r="J47" s="26"/>
      <c r="K47" s="225"/>
      <c r="L47" s="225"/>
      <c r="M47" s="225"/>
      <c r="N47" s="225"/>
      <c r="O47" s="225"/>
      <c r="P47" s="225"/>
      <c r="Q47" s="225"/>
      <c r="R47" s="225"/>
      <c r="S47" s="225"/>
      <c r="T47" s="225"/>
      <c r="U47" s="225"/>
      <c r="V47" s="225"/>
      <c r="W47" s="225"/>
      <c r="X47" s="225"/>
      <c r="Y47" s="225"/>
      <c r="Z47" s="225"/>
    </row>
    <row r="48" spans="1:31" s="225" customFormat="1" ht="12.75" customHeight="1" x14ac:dyDescent="0.2">
      <c r="A48" s="237"/>
      <c r="B48" s="444"/>
      <c r="C48" s="444"/>
      <c r="D48" s="237"/>
      <c r="E48" s="237"/>
      <c r="F48" s="238"/>
      <c r="G48" s="235"/>
      <c r="I48" s="612"/>
      <c r="J48" s="32"/>
    </row>
    <row r="49" spans="1:10" s="234" customFormat="1" ht="12.75" customHeight="1" x14ac:dyDescent="0.2">
      <c r="A49" s="237"/>
      <c r="B49" s="237"/>
      <c r="C49" s="237"/>
      <c r="D49" s="237"/>
      <c r="E49" s="237"/>
      <c r="F49" s="237"/>
      <c r="G49" s="235"/>
      <c r="I49" s="613"/>
      <c r="J49" s="94"/>
    </row>
    <row r="50" spans="1:10" s="234" customFormat="1" ht="12.75" customHeight="1" x14ac:dyDescent="0.2">
      <c r="A50" s="237"/>
      <c r="B50" s="237"/>
      <c r="C50" s="237"/>
      <c r="D50" s="237"/>
      <c r="E50" s="237"/>
      <c r="F50" s="238"/>
      <c r="G50" s="235"/>
      <c r="I50" s="84"/>
      <c r="J50" s="84"/>
    </row>
    <row r="51" spans="1:10" s="234" customFormat="1" ht="12.75" customHeight="1" x14ac:dyDescent="0.2">
      <c r="A51" s="237"/>
      <c r="B51" s="238"/>
      <c r="C51" s="238"/>
      <c r="D51" s="237"/>
      <c r="E51" s="237"/>
      <c r="F51" s="237"/>
      <c r="G51" s="235"/>
      <c r="I51" s="84"/>
      <c r="J51" s="84"/>
    </row>
    <row r="52" spans="1:10" s="234" customFormat="1" ht="12.75" customHeight="1" x14ac:dyDescent="0.2">
      <c r="A52" s="237"/>
      <c r="B52" s="238"/>
      <c r="C52" s="238"/>
      <c r="D52" s="235"/>
      <c r="E52" s="235"/>
      <c r="F52" s="235"/>
      <c r="G52" s="235"/>
    </row>
    <row r="53" spans="1:10" s="234" customFormat="1" ht="12.75" customHeight="1" x14ac:dyDescent="0.2">
      <c r="A53" s="235"/>
      <c r="B53" s="235"/>
      <c r="C53" s="235"/>
      <c r="D53" s="235"/>
      <c r="E53" s="235"/>
      <c r="F53" s="235"/>
      <c r="G53" s="235"/>
    </row>
    <row r="54" spans="1:10" s="234" customFormat="1" ht="12.75" customHeight="1" x14ac:dyDescent="0.2">
      <c r="A54" s="235"/>
      <c r="B54" s="235"/>
      <c r="C54" s="235"/>
      <c r="D54" s="235"/>
      <c r="E54" s="235"/>
      <c r="F54" s="235"/>
      <c r="G54" s="235"/>
    </row>
    <row r="55" spans="1:10" s="234" customFormat="1" ht="12.75" customHeight="1" x14ac:dyDescent="0.2">
      <c r="A55" s="235"/>
      <c r="B55" s="235"/>
      <c r="C55" s="235"/>
      <c r="D55" s="235"/>
      <c r="E55" s="235"/>
      <c r="F55" s="235"/>
      <c r="G55" s="235"/>
    </row>
    <row r="56" spans="1:10" s="234" customFormat="1" ht="12.75" customHeight="1" x14ac:dyDescent="0.2">
      <c r="A56" s="235"/>
      <c r="B56" s="235"/>
      <c r="C56" s="235"/>
      <c r="D56" s="235"/>
      <c r="E56" s="235"/>
      <c r="F56" s="235"/>
      <c r="G56" s="235"/>
    </row>
    <row r="57" spans="1:10" ht="12.75" customHeight="1" x14ac:dyDescent="0.2"/>
    <row r="58" spans="1:10" ht="15" customHeight="1" x14ac:dyDescent="0.2"/>
  </sheetData>
  <sheetProtection algorithmName="SHA-512" hashValue="/9e+szk2Kcmsa1nybxKopsA1wIbkcNJB0fLLdZekm6tnu0Tm28oXeiPhMnVhik8NPYQoWEivbbFekhVdblyJ7A==" saltValue="HuCp3kZHZumB9kVg6FyxRg==" spinCount="100000" sheet="1" objects="1" scenarios="1"/>
  <sortState ref="I12:J15">
    <sortCondition ref="I12"/>
  </sortState>
  <mergeCells count="42">
    <mergeCell ref="A1:E1"/>
    <mergeCell ref="B8:C8"/>
    <mergeCell ref="B4:G4"/>
    <mergeCell ref="B5:G5"/>
    <mergeCell ref="B6:G6"/>
    <mergeCell ref="B7:G7"/>
    <mergeCell ref="F8:G8"/>
    <mergeCell ref="F1:G1"/>
    <mergeCell ref="A2:G2"/>
    <mergeCell ref="B3:G3"/>
    <mergeCell ref="A13:C13"/>
    <mergeCell ref="A33:G41"/>
    <mergeCell ref="A32:G32"/>
    <mergeCell ref="I29:J29"/>
    <mergeCell ref="I28:J28"/>
    <mergeCell ref="A29:A30"/>
    <mergeCell ref="I30:Z30"/>
    <mergeCell ref="Z32:Z33"/>
    <mergeCell ref="Y32:Y33"/>
    <mergeCell ref="X32:X33"/>
    <mergeCell ref="W32:W33"/>
    <mergeCell ref="V32:V33"/>
    <mergeCell ref="U32:U33"/>
    <mergeCell ref="T32:T33"/>
    <mergeCell ref="S32:S33"/>
    <mergeCell ref="D30:G30"/>
    <mergeCell ref="I33:Q39"/>
    <mergeCell ref="I27:J27"/>
    <mergeCell ref="A10:F10"/>
    <mergeCell ref="A12:C12"/>
    <mergeCell ref="D8:E8"/>
    <mergeCell ref="D12:G12"/>
    <mergeCell ref="A16:G23"/>
    <mergeCell ref="I26:J26"/>
    <mergeCell ref="I25:J25"/>
    <mergeCell ref="A24:G24"/>
    <mergeCell ref="A14:G14"/>
    <mergeCell ref="A15:G15"/>
    <mergeCell ref="B9:C9"/>
    <mergeCell ref="F9:G9"/>
    <mergeCell ref="C11:G11"/>
    <mergeCell ref="D13:G13"/>
  </mergeCells>
  <conditionalFormatting sqref="C11">
    <cfRule type="expression" dxfId="21" priority="21">
      <formula>IF($B$11="",TRUE(),FALSE())</formula>
    </cfRule>
  </conditionalFormatting>
  <conditionalFormatting sqref="D12">
    <cfRule type="expression" dxfId="20" priority="15">
      <formula>IF(OR(AND(D12="",B11=46),AND(D12="",B11=49)),TRUE(),FALSE())</formula>
    </cfRule>
  </conditionalFormatting>
  <conditionalFormatting sqref="D13:G13">
    <cfRule type="expression" dxfId="19" priority="14">
      <formula>IF(OR(AND(D13="",B11=46),AND(D13="",B11=49)),TRUE(),FALSE())</formula>
    </cfRule>
  </conditionalFormatting>
  <conditionalFormatting sqref="F26">
    <cfRule type="cellIs" dxfId="18" priority="12" operator="greaterThan">
      <formula>65</formula>
    </cfRule>
    <cfRule type="cellIs" dxfId="17" priority="13" operator="greaterThan">
      <formula>50</formula>
    </cfRule>
  </conditionalFormatting>
  <conditionalFormatting sqref="AA26:AA29">
    <cfRule type="expression" dxfId="16" priority="7">
      <formula>IF(AND(AA26&lt;&gt;1,AA26&lt;&gt;0),TRUE,FALSE)</formula>
    </cfRule>
  </conditionalFormatting>
  <conditionalFormatting sqref="I26:Q26">
    <cfRule type="expression" dxfId="15" priority="4">
      <formula>IF($B$11=$I$26,TRUE(),FALSE())</formula>
    </cfRule>
  </conditionalFormatting>
  <conditionalFormatting sqref="I27:Q27">
    <cfRule type="expression" dxfId="14" priority="3">
      <formula>IF($B$11=$I$27,TRUE(),FALSE())</formula>
    </cfRule>
  </conditionalFormatting>
  <conditionalFormatting sqref="I28:Q28">
    <cfRule type="expression" dxfId="13" priority="2">
      <formula>IF($B$11=$I$28,TRUE(),FALSE())</formula>
    </cfRule>
  </conditionalFormatting>
  <conditionalFormatting sqref="I29:Q29">
    <cfRule type="expression" dxfId="12" priority="1">
      <formula>IF($B$11=$I$29,TRUE(),FALSE())</formula>
    </cfRule>
  </conditionalFormatting>
  <dataValidations xWindow="471" yWindow="412" count="2">
    <dataValidation type="list" allowBlank="1" showInputMessage="1" showErrorMessage="1" prompt="Bitte geben Sie an, welcher landwirtschaftlicher Rohstoff verarbeitet wird." sqref="D12">
      <formula1>$I$19:$I$22</formula1>
    </dataValidation>
    <dataValidation type="list" allowBlank="1" showInputMessage="1" showErrorMessage="1" prompt="Bitte geben Sie an, welche Betriebsform am besten zu trifft." sqref="D13:G13">
      <formula1>$S$20:$S$22</formula1>
    </dataValidation>
  </dataValidations>
  <pageMargins left="0.78740157480314965" right="0.59055118110236227" top="0.78740157480314965" bottom="0.59055118110236227" header="0.31496062992125984" footer="0.31496062992125984"/>
  <pageSetup paperSize="9" scale="88" orientation="portrait" r:id="rId1"/>
  <headerFooter alignWithMargins="0">
    <oddHeader>&amp;L&amp;8Ufficio federale dell'agricoltura&amp;R&amp;8Aiuto al calcolo; stato 1.2023</oddHeader>
    <oddFooter>&amp;L&amp;8&amp;D; &amp;T&amp;R&amp;8&amp;A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AD45"/>
  <sheetViews>
    <sheetView showGridLines="0" showRowColHeaders="0" showZeros="0" zoomScaleNormal="100" zoomScaleSheetLayoutView="115" workbookViewId="0">
      <selection activeCell="A13" sqref="A13"/>
    </sheetView>
  </sheetViews>
  <sheetFormatPr baseColWidth="10" defaultColWidth="11.42578125" defaultRowHeight="12.75" x14ac:dyDescent="0.2"/>
  <cols>
    <col min="1" max="1" width="20.5703125" style="235" customWidth="1"/>
    <col min="2" max="2" width="7.5703125" style="235" customWidth="1"/>
    <col min="3" max="3" width="10.85546875" style="235" customWidth="1"/>
    <col min="4" max="4" width="8.28515625" style="235" customWidth="1"/>
    <col min="5" max="5" width="12.140625" style="235" customWidth="1"/>
    <col min="6" max="6" width="8.28515625" style="235" customWidth="1"/>
    <col min="7" max="7" width="11.7109375" style="235" customWidth="1"/>
    <col min="8" max="8" width="7.7109375" style="235" customWidth="1"/>
    <col min="9" max="9" width="9.7109375" style="235" customWidth="1"/>
    <col min="10" max="11" width="3" style="235" customWidth="1"/>
    <col min="12" max="12" width="17.28515625" style="235" customWidth="1"/>
    <col min="13" max="13" width="20.140625" style="235" customWidth="1"/>
    <col min="14" max="14" width="24.28515625" style="235" customWidth="1"/>
    <col min="15" max="15" width="10" style="235" customWidth="1"/>
    <col min="16" max="16" width="11" style="235" customWidth="1"/>
    <col min="17" max="17" width="9.28515625" style="235" customWidth="1"/>
    <col min="18" max="18" width="11.42578125" style="235"/>
    <col min="19" max="19" width="13.85546875" style="235" customWidth="1"/>
    <col min="20" max="20" width="13.28515625" style="235" bestFit="1" customWidth="1"/>
    <col min="21" max="21" width="11.42578125" style="235"/>
    <col min="22" max="22" width="16.7109375" style="235" customWidth="1"/>
    <col min="23" max="16384" width="11.42578125" style="235"/>
  </cols>
  <sheetData>
    <row r="1" spans="1:30" ht="25.15" customHeight="1" x14ac:dyDescent="0.2">
      <c r="A1" s="1201" t="s">
        <v>227</v>
      </c>
      <c r="B1" s="1202"/>
      <c r="C1" s="1202"/>
      <c r="D1" s="1202"/>
      <c r="E1" s="1202"/>
      <c r="F1" s="1202"/>
      <c r="G1" s="1202"/>
      <c r="H1" s="1202"/>
      <c r="I1" s="705"/>
      <c r="J1" s="430"/>
      <c r="L1" s="823" t="s">
        <v>162</v>
      </c>
      <c r="M1" s="824"/>
      <c r="N1" s="426"/>
      <c r="O1" s="426"/>
      <c r="P1" s="426"/>
      <c r="Q1" s="426"/>
      <c r="R1" s="426"/>
      <c r="S1" s="426"/>
    </row>
    <row r="2" spans="1:30" s="234" customFormat="1" ht="12.75" customHeight="1" x14ac:dyDescent="0.2">
      <c r="A2" s="1203"/>
      <c r="B2" s="1203"/>
      <c r="C2" s="1203"/>
      <c r="D2" s="1203"/>
      <c r="E2" s="1203"/>
      <c r="F2" s="1203"/>
      <c r="G2" s="1203"/>
      <c r="H2" s="1203"/>
      <c r="I2" s="1203"/>
      <c r="J2" s="358"/>
      <c r="L2" s="1205" t="s">
        <v>129</v>
      </c>
      <c r="M2" s="1206"/>
      <c r="N2" s="427" t="str">
        <f>A12</f>
        <v>Abitazione</v>
      </c>
      <c r="O2" s="428" t="str">
        <f>A13</f>
        <v>Abitazione (&gt; 50 UBG animali munti)</v>
      </c>
      <c r="P2" s="428" t="str">
        <f>A14</f>
        <v>Fabbr. e stoccaggio formaggio</v>
      </c>
      <c r="Q2" s="428" t="str">
        <f>A15</f>
        <v>Stalla compr. deposito concimi</v>
      </c>
      <c r="R2" s="428" t="str">
        <f>A16</f>
        <v>Stand di mungitura per lattifera</v>
      </c>
      <c r="S2" s="428" t="str">
        <f>A17</f>
        <v>Area di mungitura per lattifera</v>
      </c>
      <c r="T2" s="429" t="str">
        <f>A18</f>
        <v>Porcile</v>
      </c>
    </row>
    <row r="3" spans="1:30" s="234" customFormat="1" ht="12.75" customHeight="1" x14ac:dyDescent="0.2">
      <c r="A3" s="250" t="str">
        <f>'div. CI'!A3</f>
        <v>Richiedente</v>
      </c>
      <c r="B3" s="251"/>
      <c r="C3" s="1195">
        <f>USM!B3</f>
        <v>0</v>
      </c>
      <c r="D3" s="1140"/>
      <c r="E3" s="1140"/>
      <c r="F3" s="1140"/>
      <c r="G3" s="1140"/>
      <c r="H3" s="1140"/>
      <c r="I3" s="1141"/>
      <c r="J3" s="358"/>
      <c r="L3" s="825" t="s">
        <v>130</v>
      </c>
      <c r="M3" s="826" t="s">
        <v>163</v>
      </c>
      <c r="N3" s="432">
        <f>30360*1.9</f>
        <v>57684</v>
      </c>
      <c r="O3" s="433">
        <f>45600*1.9</f>
        <v>86640</v>
      </c>
      <c r="P3" s="433">
        <f>920*1.9</f>
        <v>1748</v>
      </c>
      <c r="Q3" s="433">
        <f>920*1.9</f>
        <v>1748</v>
      </c>
      <c r="R3" s="433">
        <f>240*1.9</f>
        <v>456</v>
      </c>
      <c r="S3" s="433">
        <f>110*1.9</f>
        <v>209</v>
      </c>
      <c r="T3" s="434">
        <f>280*1.9</f>
        <v>532</v>
      </c>
    </row>
    <row r="4" spans="1:30" s="245" customFormat="1" ht="12.75" customHeight="1" x14ac:dyDescent="0.2">
      <c r="A4" s="250" t="str">
        <f>'div. CI'!A4</f>
        <v>Comune politico</v>
      </c>
      <c r="B4" s="441"/>
      <c r="C4" s="987">
        <f>USM!B4</f>
        <v>0</v>
      </c>
      <c r="D4" s="1038"/>
      <c r="E4" s="1038"/>
      <c r="F4" s="1038"/>
      <c r="G4" s="1038"/>
      <c r="H4" s="1038"/>
      <c r="I4" s="1139"/>
      <c r="J4" s="223"/>
      <c r="L4" s="825" t="s">
        <v>130</v>
      </c>
      <c r="M4" s="827" t="s">
        <v>164</v>
      </c>
      <c r="N4" s="435">
        <v>79000</v>
      </c>
      <c r="O4" s="436">
        <v>115000</v>
      </c>
      <c r="P4" s="436">
        <v>2500</v>
      </c>
      <c r="Q4" s="436">
        <v>2900</v>
      </c>
      <c r="R4" s="436">
        <v>860</v>
      </c>
      <c r="S4" s="436">
        <v>290</v>
      </c>
      <c r="T4" s="437">
        <v>650</v>
      </c>
    </row>
    <row r="5" spans="1:30" s="245" customFormat="1" ht="12.75" customHeight="1" x14ac:dyDescent="0.2">
      <c r="A5" s="250" t="str">
        <f>'div. CI'!A5</f>
        <v>N. Cantone</v>
      </c>
      <c r="B5" s="251"/>
      <c r="C5" s="987">
        <f>USM!B5</f>
        <v>0</v>
      </c>
      <c r="D5" s="1038"/>
      <c r="E5" s="1038"/>
      <c r="F5" s="1038"/>
      <c r="G5" s="1038"/>
      <c r="H5" s="1038"/>
      <c r="I5" s="1139"/>
      <c r="J5" s="431"/>
      <c r="L5" s="828" t="s">
        <v>165</v>
      </c>
      <c r="M5" s="829" t="s">
        <v>166</v>
      </c>
      <c r="N5" s="438">
        <f>79000*2</f>
        <v>158000</v>
      </c>
      <c r="O5" s="439">
        <f>115000*2</f>
        <v>230000</v>
      </c>
      <c r="P5" s="439">
        <f>2500*2</f>
        <v>5000</v>
      </c>
      <c r="Q5" s="439">
        <f>2900*2</f>
        <v>5800</v>
      </c>
      <c r="R5" s="439">
        <f>860*2</f>
        <v>1720</v>
      </c>
      <c r="S5" s="439">
        <f>290*2</f>
        <v>580</v>
      </c>
      <c r="T5" s="440">
        <f>650*2</f>
        <v>1300</v>
      </c>
    </row>
    <row r="6" spans="1:30" s="245" customFormat="1" ht="12.75" customHeight="1" x14ac:dyDescent="0.2">
      <c r="A6" s="252" t="str">
        <f>'div. CI'!A6</f>
        <v>N. CSF eMapis</v>
      </c>
      <c r="B6" s="253"/>
      <c r="C6" s="1195">
        <f>USM!B6</f>
        <v>0</v>
      </c>
      <c r="D6" s="1140"/>
      <c r="E6" s="1140"/>
      <c r="F6" s="1140"/>
      <c r="G6" s="1140"/>
      <c r="H6" s="1140"/>
      <c r="I6" s="1141"/>
      <c r="J6" s="227"/>
    </row>
    <row r="7" spans="1:30" s="245" customFormat="1" ht="12.75" customHeight="1" x14ac:dyDescent="0.2">
      <c r="A7" s="250" t="s">
        <v>128</v>
      </c>
      <c r="B7" s="254"/>
      <c r="C7" s="987"/>
      <c r="D7" s="1038"/>
      <c r="E7" s="1038"/>
      <c r="F7" s="1038"/>
      <c r="G7" s="1038"/>
      <c r="H7" s="1038"/>
      <c r="I7" s="1139"/>
      <c r="J7" s="227"/>
      <c r="K7" s="1211"/>
      <c r="L7" s="1211"/>
    </row>
    <row r="8" spans="1:30" s="245" customFormat="1" ht="12.75" customHeight="1" x14ac:dyDescent="0.2">
      <c r="A8" s="1218" t="str">
        <f>IF(C8="",X23,X24)</f>
        <v>Forme di aiuto finanziario</v>
      </c>
      <c r="B8" s="1219"/>
      <c r="C8" s="1213" t="s">
        <v>130</v>
      </c>
      <c r="D8" s="1214"/>
      <c r="E8" s="1214"/>
      <c r="F8" s="1214"/>
      <c r="G8" s="1214"/>
      <c r="H8" s="1214"/>
      <c r="I8" s="1215"/>
      <c r="J8" s="223"/>
      <c r="K8" s="225"/>
      <c r="L8" s="234"/>
      <c r="M8" s="234"/>
      <c r="N8" s="234"/>
      <c r="O8" s="234"/>
      <c r="P8" s="225"/>
      <c r="Q8" s="225"/>
      <c r="R8" s="225"/>
      <c r="S8" s="225"/>
      <c r="T8" s="715"/>
      <c r="U8" s="715"/>
      <c r="V8" s="715"/>
    </row>
    <row r="9" spans="1:30" s="225" customFormat="1" ht="12.75" customHeight="1" x14ac:dyDescent="0.2">
      <c r="A9" s="255" t="str">
        <f>'20 aiuto iniziale'!A8:B8</f>
        <v>Costi del provvedimento</v>
      </c>
      <c r="B9" s="256"/>
      <c r="C9" s="1030"/>
      <c r="D9" s="1132"/>
      <c r="E9" s="1132"/>
      <c r="F9" s="1031"/>
      <c r="G9" s="1216" t="s">
        <v>131</v>
      </c>
      <c r="H9" s="1217"/>
      <c r="I9" s="257">
        <v>90</v>
      </c>
      <c r="K9" s="234"/>
      <c r="T9" s="157"/>
      <c r="U9" s="715"/>
      <c r="V9" s="715"/>
    </row>
    <row r="10" spans="1:30" s="234" customFormat="1" ht="12.75" customHeight="1" x14ac:dyDescent="0.2">
      <c r="A10" s="1212"/>
      <c r="B10" s="1212"/>
      <c r="C10" s="1212"/>
      <c r="D10" s="1212"/>
      <c r="E10" s="1212"/>
      <c r="F10" s="1212"/>
      <c r="G10" s="1212"/>
      <c r="H10" s="1212"/>
      <c r="I10" s="1212"/>
      <c r="K10" s="231"/>
      <c r="L10" s="595"/>
      <c r="M10" s="225"/>
      <c r="N10" s="225"/>
      <c r="O10" s="225"/>
      <c r="P10" s="225"/>
      <c r="Q10" s="225"/>
      <c r="R10" s="225"/>
      <c r="S10" s="225"/>
      <c r="T10" s="278"/>
      <c r="U10" s="715"/>
      <c r="V10" s="715"/>
      <c r="W10" s="500"/>
      <c r="X10" s="500"/>
      <c r="Y10" s="500"/>
      <c r="Z10" s="501"/>
      <c r="AA10" s="500"/>
      <c r="AB10" s="278"/>
      <c r="AC10" s="278"/>
      <c r="AD10" s="278"/>
    </row>
    <row r="11" spans="1:30" s="231" customFormat="1" ht="45" customHeight="1" x14ac:dyDescent="0.2">
      <c r="A11" s="779" t="s">
        <v>211</v>
      </c>
      <c r="B11" s="710"/>
      <c r="C11" s="819" t="s">
        <v>62</v>
      </c>
      <c r="D11" s="820" t="s">
        <v>63</v>
      </c>
      <c r="E11" s="821" t="s">
        <v>148</v>
      </c>
      <c r="F11" s="821" t="s">
        <v>157</v>
      </c>
      <c r="G11" s="820" t="s">
        <v>158</v>
      </c>
      <c r="H11" s="821" t="s">
        <v>142</v>
      </c>
      <c r="I11" s="822" t="s">
        <v>138</v>
      </c>
      <c r="K11" s="941"/>
      <c r="L11" s="942"/>
      <c r="M11" s="225"/>
      <c r="N11" s="225"/>
      <c r="O11" s="225"/>
      <c r="P11" s="225"/>
      <c r="Q11" s="225"/>
      <c r="R11" s="225"/>
      <c r="S11" s="225"/>
      <c r="T11" s="715"/>
      <c r="U11" s="715"/>
      <c r="V11" s="715"/>
      <c r="W11" s="278"/>
      <c r="X11" s="278"/>
      <c r="Y11" s="278"/>
      <c r="Z11" s="278"/>
      <c r="AA11" s="278"/>
      <c r="AB11" s="278"/>
      <c r="AC11" s="501"/>
      <c r="AD11" s="501"/>
    </row>
    <row r="12" spans="1:30" s="232" customFormat="1" ht="12.75" customHeight="1" x14ac:dyDescent="0.2">
      <c r="A12" s="401" t="s">
        <v>212</v>
      </c>
      <c r="B12" s="402"/>
      <c r="C12" s="403" t="s">
        <v>219</v>
      </c>
      <c r="D12" s="449"/>
      <c r="E12" s="757"/>
      <c r="F12" s="445">
        <f>IF(($C$8=$L$4),N3,0)</f>
        <v>57684</v>
      </c>
      <c r="G12" s="258">
        <f>D12*(100-E12)/100*F12</f>
        <v>0</v>
      </c>
      <c r="H12" s="445">
        <f>IF(($C$8=$L$5),N5,IF($C$8=$L$4,N4,0))</f>
        <v>79000</v>
      </c>
      <c r="I12" s="258">
        <f t="shared" ref="I12:I18" si="0">D12*(100-E12)/100*H12</f>
        <v>0</v>
      </c>
      <c r="K12" s="941"/>
      <c r="L12" s="218"/>
      <c r="M12" s="225"/>
      <c r="N12" s="225"/>
      <c r="O12" s="225"/>
      <c r="P12" s="225"/>
      <c r="Q12" s="225"/>
      <c r="R12" s="225"/>
      <c r="S12" s="225"/>
      <c r="T12" s="225"/>
      <c r="U12" s="225"/>
      <c r="V12" s="225"/>
      <c r="W12" s="509"/>
      <c r="X12" s="278"/>
      <c r="Y12" s="278"/>
      <c r="Z12" s="278"/>
      <c r="AA12" s="278"/>
      <c r="AB12" s="278"/>
      <c r="AC12" s="35"/>
      <c r="AD12" s="35"/>
    </row>
    <row r="13" spans="1:30" s="232" customFormat="1" ht="12.75" customHeight="1" x14ac:dyDescent="0.2">
      <c r="A13" s="404" t="s">
        <v>213</v>
      </c>
      <c r="B13" s="405"/>
      <c r="C13" s="403" t="s">
        <v>219</v>
      </c>
      <c r="D13" s="449"/>
      <c r="E13" s="757"/>
      <c r="F13" s="445">
        <f>IF(($C$8=$L$4),O3,0)</f>
        <v>86640</v>
      </c>
      <c r="G13" s="258">
        <f t="shared" ref="G13:G18" si="1">D13*(100-E13)/100*F13</f>
        <v>0</v>
      </c>
      <c r="H13" s="445">
        <f>IF(($C$8=$L$5),O5,IF($C$8=$L$4,O4,0))</f>
        <v>115000</v>
      </c>
      <c r="I13" s="258">
        <f t="shared" si="0"/>
        <v>0</v>
      </c>
      <c r="K13" s="358"/>
      <c r="L13" s="218"/>
      <c r="M13" s="225"/>
      <c r="N13" s="225"/>
      <c r="O13" s="225"/>
      <c r="P13" s="225"/>
      <c r="Q13" s="225"/>
      <c r="R13" s="225"/>
      <c r="S13" s="225"/>
      <c r="T13" s="225"/>
      <c r="U13" s="225"/>
      <c r="V13" s="225"/>
      <c r="W13" s="509"/>
      <c r="X13" s="278"/>
      <c r="Y13" s="278"/>
      <c r="Z13" s="278"/>
      <c r="AA13" s="278"/>
      <c r="AB13" s="278"/>
      <c r="AC13" s="35"/>
      <c r="AD13" s="35"/>
    </row>
    <row r="14" spans="1:30" s="234" customFormat="1" ht="12.75" customHeight="1" x14ac:dyDescent="0.2">
      <c r="A14" s="514" t="s">
        <v>214</v>
      </c>
      <c r="B14" s="406"/>
      <c r="C14" s="9" t="s">
        <v>220</v>
      </c>
      <c r="D14" s="449"/>
      <c r="E14" s="757"/>
      <c r="F14" s="445">
        <f>IF(($C$8=$L$4),P3,0)</f>
        <v>1748</v>
      </c>
      <c r="G14" s="258">
        <f t="shared" si="1"/>
        <v>0</v>
      </c>
      <c r="H14" s="445">
        <f>IF(($C$8=$L$5),P5,IF($C$8=$L$4,P4,0))</f>
        <v>2500</v>
      </c>
      <c r="I14" s="258">
        <f t="shared" si="0"/>
        <v>0</v>
      </c>
      <c r="K14" s="358"/>
      <c r="L14" s="218"/>
      <c r="M14" s="225"/>
      <c r="N14" s="225"/>
      <c r="O14" s="225"/>
      <c r="P14" s="225"/>
      <c r="Q14" s="225"/>
      <c r="R14" s="225"/>
      <c r="S14" s="358"/>
      <c r="T14" s="225"/>
      <c r="U14" s="225"/>
      <c r="V14" s="225"/>
      <c r="W14" s="509"/>
      <c r="X14" s="278"/>
      <c r="Y14" s="504"/>
      <c r="Z14" s="504"/>
      <c r="AA14" s="504"/>
      <c r="AB14" s="504"/>
      <c r="AC14" s="278"/>
      <c r="AD14" s="278"/>
    </row>
    <row r="15" spans="1:30" s="234" customFormat="1" ht="12.75" customHeight="1" x14ac:dyDescent="0.2">
      <c r="A15" s="514" t="s">
        <v>215</v>
      </c>
      <c r="B15" s="406"/>
      <c r="C15" s="403" t="s">
        <v>66</v>
      </c>
      <c r="D15" s="450"/>
      <c r="E15" s="757"/>
      <c r="F15" s="445">
        <f>IF(($C$8=$L$4),P3,0)</f>
        <v>1748</v>
      </c>
      <c r="G15" s="258">
        <f>D15*(100-E15)/100*F15</f>
        <v>0</v>
      </c>
      <c r="H15" s="445">
        <f>IF(($C$8=$L$5),Q5,IF($C$8=$L$4,Q4,0))</f>
        <v>2900</v>
      </c>
      <c r="I15" s="258">
        <f t="shared" si="0"/>
        <v>0</v>
      </c>
      <c r="K15" s="358"/>
      <c r="L15" s="218"/>
      <c r="M15" s="225"/>
      <c r="N15" s="225"/>
      <c r="O15" s="225"/>
      <c r="V15" s="358"/>
      <c r="W15" s="509"/>
      <c r="X15" s="278"/>
      <c r="Y15" s="505"/>
      <c r="Z15" s="510"/>
      <c r="AA15" s="278"/>
      <c r="AB15" s="278"/>
      <c r="AC15" s="278"/>
      <c r="AD15" s="278"/>
    </row>
    <row r="16" spans="1:30" s="234" customFormat="1" ht="12.75" customHeight="1" x14ac:dyDescent="0.2">
      <c r="A16" s="416" t="s">
        <v>216</v>
      </c>
      <c r="B16" s="393"/>
      <c r="C16" s="9" t="s">
        <v>220</v>
      </c>
      <c r="D16" s="755"/>
      <c r="E16" s="758"/>
      <c r="F16" s="445">
        <f>IF(($C$8=$L$4),R3,0)</f>
        <v>456</v>
      </c>
      <c r="G16" s="259">
        <f t="shared" si="1"/>
        <v>0</v>
      </c>
      <c r="H16" s="445">
        <f>IF(($C$8=$L$5),R5,IF($C$8=$L$4,R4,0))</f>
        <v>860</v>
      </c>
      <c r="I16" s="259">
        <f t="shared" si="0"/>
        <v>0</v>
      </c>
      <c r="J16" s="246"/>
      <c r="K16" s="358"/>
      <c r="L16" s="218"/>
      <c r="M16" s="225"/>
      <c r="N16" s="225"/>
      <c r="O16" s="225"/>
      <c r="S16" s="235"/>
      <c r="W16" s="509"/>
      <c r="X16" s="278"/>
      <c r="Y16" s="278"/>
      <c r="Z16" s="278"/>
      <c r="AA16" s="278"/>
      <c r="AB16" s="278"/>
      <c r="AC16" s="278"/>
      <c r="AD16" s="278"/>
    </row>
    <row r="17" spans="1:30" s="234" customFormat="1" ht="12.75" customHeight="1" x14ac:dyDescent="0.2">
      <c r="A17" s="514" t="s">
        <v>217</v>
      </c>
      <c r="B17" s="393"/>
      <c r="C17" s="267" t="s">
        <v>220</v>
      </c>
      <c r="D17" s="756"/>
      <c r="E17" s="759"/>
      <c r="F17" s="445">
        <f>IF(($C$8=$L$4),S3,0)</f>
        <v>209</v>
      </c>
      <c r="G17" s="259">
        <f t="shared" si="1"/>
        <v>0</v>
      </c>
      <c r="H17" s="445">
        <f>IF(($C$8=$L$5),S5,IF($C$8=$L$4,S4,0))</f>
        <v>290</v>
      </c>
      <c r="I17" s="259">
        <f t="shared" si="0"/>
        <v>0</v>
      </c>
      <c r="J17" s="246"/>
      <c r="K17" s="358"/>
      <c r="L17" s="218"/>
      <c r="M17" s="225"/>
      <c r="N17" s="225"/>
      <c r="O17" s="225"/>
      <c r="P17" s="235"/>
      <c r="Q17" s="235"/>
      <c r="R17" s="235"/>
      <c r="S17" s="235"/>
      <c r="T17" s="235"/>
      <c r="U17" s="235"/>
      <c r="V17" s="235"/>
      <c r="W17" s="371"/>
      <c r="X17" s="278"/>
      <c r="Y17" s="511"/>
      <c r="Z17" s="35"/>
      <c r="AA17" s="278"/>
      <c r="AB17" s="278"/>
      <c r="AC17" s="278"/>
      <c r="AD17" s="278"/>
    </row>
    <row r="18" spans="1:30" s="234" customFormat="1" ht="12.75" customHeight="1" x14ac:dyDescent="0.2">
      <c r="A18" s="407" t="s">
        <v>218</v>
      </c>
      <c r="B18" s="353"/>
      <c r="C18" s="408" t="s">
        <v>221</v>
      </c>
      <c r="D18" s="451"/>
      <c r="E18" s="760"/>
      <c r="F18" s="445">
        <f>IF(($C$8=$L$4),T3,0)</f>
        <v>532</v>
      </c>
      <c r="G18" s="260">
        <f t="shared" si="1"/>
        <v>0</v>
      </c>
      <c r="H18" s="445">
        <f>IF(($C$8=$L$5),T5,IF($C$8=$L$4,T4,0))</f>
        <v>650</v>
      </c>
      <c r="I18" s="409">
        <f t="shared" si="0"/>
        <v>0</v>
      </c>
      <c r="J18" s="246"/>
      <c r="K18" s="223"/>
      <c r="L18" s="218"/>
      <c r="M18" s="225"/>
      <c r="N18" s="225"/>
      <c r="O18" s="225"/>
      <c r="P18" s="235"/>
      <c r="Q18" s="235"/>
      <c r="R18" s="235"/>
      <c r="S18" s="235"/>
      <c r="T18" s="235"/>
      <c r="U18" s="235"/>
      <c r="V18" s="235"/>
      <c r="W18" s="923"/>
      <c r="X18" s="923"/>
      <c r="Y18" s="923"/>
      <c r="Z18" s="923"/>
      <c r="AA18" s="923"/>
      <c r="AB18" s="923"/>
      <c r="AC18" s="278"/>
      <c r="AD18" s="278"/>
    </row>
    <row r="19" spans="1:30" s="245" customFormat="1" ht="18" customHeight="1" x14ac:dyDescent="0.2">
      <c r="A19" s="519" t="s">
        <v>135</v>
      </c>
      <c r="B19" s="520"/>
      <c r="C19" s="520"/>
      <c r="D19" s="520"/>
      <c r="E19" s="520"/>
      <c r="F19" s="521"/>
      <c r="G19" s="261">
        <f>ROUNDDOWN(SUM(G12:G18),0)</f>
        <v>0</v>
      </c>
      <c r="H19" s="446"/>
      <c r="I19" s="410">
        <f>ROUNDDOWN(SUM(I12:I18),0)</f>
        <v>0</v>
      </c>
      <c r="J19" s="247"/>
      <c r="K19" s="248"/>
      <c r="L19" s="225"/>
      <c r="M19" s="225"/>
      <c r="N19" s="225"/>
      <c r="O19" s="225"/>
      <c r="P19" s="235"/>
      <c r="Q19" s="235"/>
      <c r="R19" s="235"/>
      <c r="S19" s="235"/>
      <c r="T19" s="235"/>
      <c r="U19" s="235"/>
      <c r="V19" s="235"/>
      <c r="W19" s="923"/>
      <c r="X19" s="943" t="s">
        <v>271</v>
      </c>
      <c r="Y19" s="923"/>
      <c r="Z19" s="923"/>
      <c r="AA19" s="923"/>
      <c r="AB19" s="923"/>
      <c r="AC19" s="157"/>
      <c r="AD19" s="157"/>
    </row>
    <row r="20" spans="1:30" s="245" customFormat="1" ht="12.75" customHeight="1" x14ac:dyDescent="0.2">
      <c r="A20" s="515"/>
      <c r="B20" s="516"/>
      <c r="C20" s="516"/>
      <c r="D20" s="516"/>
      <c r="E20" s="516"/>
      <c r="F20" s="517"/>
      <c r="G20" s="262"/>
      <c r="H20" s="447"/>
      <c r="I20" s="176"/>
      <c r="K20" s="237"/>
      <c r="L20" s="225"/>
      <c r="M20" s="225"/>
      <c r="N20" s="225"/>
      <c r="O20" s="225"/>
      <c r="P20" s="235"/>
      <c r="Q20" s="235"/>
      <c r="R20" s="235"/>
      <c r="S20" s="235"/>
      <c r="T20" s="235"/>
      <c r="U20" s="235"/>
      <c r="V20" s="235"/>
      <c r="W20" s="944"/>
      <c r="X20" s="916" t="s">
        <v>149</v>
      </c>
      <c r="Y20" s="945"/>
      <c r="Z20" s="945"/>
      <c r="AA20" s="945"/>
      <c r="AB20" s="945"/>
      <c r="AC20" s="157"/>
      <c r="AD20" s="157"/>
    </row>
    <row r="21" spans="1:30" s="232" customFormat="1" ht="12.75" customHeight="1" x14ac:dyDescent="0.2">
      <c r="A21" s="514" t="s">
        <v>174</v>
      </c>
      <c r="B21" s="411"/>
      <c r="C21" s="412" t="s">
        <v>222</v>
      </c>
      <c r="D21" s="452"/>
      <c r="E21" s="413">
        <v>50</v>
      </c>
      <c r="F21" s="414" t="s">
        <v>4</v>
      </c>
      <c r="G21" s="263">
        <f>ROUNDDOWN(D21*E21/100,0)</f>
        <v>0</v>
      </c>
      <c r="H21" s="448">
        <f>IF(D21=0,0,IF(D21&gt;0,(G21*100)/G19))</f>
        <v>0</v>
      </c>
      <c r="I21" s="176" t="s">
        <v>4</v>
      </c>
      <c r="K21" s="237"/>
      <c r="L21" s="225"/>
      <c r="M21" s="225"/>
      <c r="N21" s="225"/>
      <c r="O21" s="225"/>
      <c r="P21" s="235"/>
      <c r="Q21" s="235"/>
      <c r="R21" s="235"/>
      <c r="S21" s="235"/>
      <c r="T21" s="235"/>
      <c r="U21" s="235"/>
      <c r="V21" s="235"/>
      <c r="W21" s="946"/>
      <c r="X21" s="916" t="s">
        <v>150</v>
      </c>
      <c r="Y21" s="945"/>
      <c r="Z21" s="945"/>
      <c r="AA21" s="945"/>
      <c r="AB21" s="945"/>
      <c r="AC21" s="35"/>
      <c r="AD21" s="35"/>
    </row>
    <row r="22" spans="1:30" s="232" customFormat="1" x14ac:dyDescent="0.2">
      <c r="A22" s="696" t="s">
        <v>176</v>
      </c>
      <c r="B22" s="524"/>
      <c r="C22" s="524"/>
      <c r="D22" s="524"/>
      <c r="E22" s="524"/>
      <c r="F22" s="697"/>
      <c r="G22" s="453"/>
      <c r="H22" s="26"/>
      <c r="I22" s="454"/>
      <c r="K22" s="249"/>
      <c r="L22" s="225"/>
      <c r="M22" s="225"/>
      <c r="N22" s="225"/>
      <c r="O22" s="225"/>
      <c r="P22" s="235"/>
      <c r="Q22" s="235"/>
      <c r="R22" s="235"/>
      <c r="S22" s="235"/>
      <c r="T22" s="235"/>
      <c r="U22" s="235"/>
      <c r="V22" s="235"/>
      <c r="W22" s="946"/>
      <c r="X22" s="916" t="s">
        <v>151</v>
      </c>
      <c r="Y22" s="947"/>
      <c r="Z22" s="947"/>
      <c r="AA22" s="947"/>
      <c r="AB22" s="947"/>
      <c r="AC22" s="35"/>
      <c r="AD22" s="35"/>
    </row>
    <row r="23" spans="1:30" s="245" customFormat="1" ht="18" customHeight="1" x14ac:dyDescent="0.2">
      <c r="A23" s="687" t="s">
        <v>137</v>
      </c>
      <c r="B23" s="688"/>
      <c r="C23" s="688"/>
      <c r="D23" s="688"/>
      <c r="E23" s="688"/>
      <c r="F23" s="518"/>
      <c r="G23" s="525">
        <f>ROUNDDOWN(+G19+G21+G22*1.9,0)</f>
        <v>0</v>
      </c>
      <c r="H23" s="184"/>
      <c r="I23" s="28">
        <f>I19+I22</f>
        <v>0</v>
      </c>
      <c r="K23" s="5"/>
      <c r="L23" s="225"/>
      <c r="M23" s="225"/>
      <c r="N23" s="225"/>
      <c r="O23" s="225"/>
      <c r="P23" s="235"/>
      <c r="Q23" s="235"/>
      <c r="R23" s="235"/>
      <c r="S23" s="235"/>
      <c r="T23" s="235"/>
      <c r="U23" s="235"/>
      <c r="V23" s="235"/>
      <c r="W23" s="948"/>
      <c r="X23" s="916" t="s">
        <v>282</v>
      </c>
      <c r="Y23" s="949"/>
      <c r="Z23" s="949"/>
      <c r="AA23" s="949"/>
      <c r="AB23" s="949"/>
      <c r="AC23" s="157"/>
      <c r="AD23" s="157"/>
    </row>
    <row r="24" spans="1:30" s="225" customFormat="1" ht="15" customHeight="1" x14ac:dyDescent="0.2">
      <c r="A24" s="993" t="s">
        <v>177</v>
      </c>
      <c r="B24" s="1220"/>
      <c r="C24" s="836" t="s">
        <v>178</v>
      </c>
      <c r="D24" s="415"/>
      <c r="E24" s="522"/>
      <c r="F24" s="523"/>
      <c r="G24" s="264">
        <f>ROUNDDOWN(G19/(1+I9/100)+G21+G22,0)</f>
        <v>0</v>
      </c>
      <c r="H24" s="416"/>
      <c r="I24" s="417"/>
      <c r="K24" s="175"/>
      <c r="P24" s="235"/>
      <c r="Q24" s="235"/>
      <c r="R24" s="235"/>
      <c r="S24" s="235"/>
      <c r="T24" s="235"/>
      <c r="U24" s="235"/>
      <c r="V24" s="235"/>
      <c r="W24" s="944"/>
      <c r="X24" s="916" t="s">
        <v>167</v>
      </c>
      <c r="Y24" s="950"/>
      <c r="Z24" s="951"/>
      <c r="AA24" s="926"/>
      <c r="AB24" s="926"/>
      <c r="AC24" s="715"/>
      <c r="AD24" s="715"/>
    </row>
    <row r="25" spans="1:30" s="225" customFormat="1" ht="15" customHeight="1" x14ac:dyDescent="0.2">
      <c r="A25" s="994"/>
      <c r="B25" s="1221"/>
      <c r="C25" s="418" t="s">
        <v>179</v>
      </c>
      <c r="D25" s="419"/>
      <c r="E25" s="420"/>
      <c r="F25" s="421"/>
      <c r="G25" s="201">
        <f>G23-G24</f>
        <v>0</v>
      </c>
      <c r="H25" s="692"/>
      <c r="I25" s="422"/>
      <c r="P25" s="235"/>
      <c r="Q25" s="235"/>
      <c r="R25" s="235"/>
      <c r="S25" s="235"/>
      <c r="T25" s="235"/>
      <c r="U25" s="235"/>
      <c r="V25" s="235"/>
      <c r="W25" s="944"/>
      <c r="X25" s="928"/>
      <c r="Y25" s="945"/>
      <c r="Z25" s="945"/>
      <c r="AA25" s="945"/>
      <c r="AB25" s="945"/>
      <c r="AC25" s="715"/>
      <c r="AD25" s="715"/>
    </row>
    <row r="26" spans="1:30" s="234" customFormat="1" ht="12.75" customHeight="1" x14ac:dyDescent="0.2">
      <c r="A26" s="957"/>
      <c r="B26" s="957"/>
      <c r="C26" s="957"/>
      <c r="D26" s="957"/>
      <c r="E26" s="957"/>
      <c r="F26" s="957"/>
      <c r="G26" s="957"/>
      <c r="H26" s="957"/>
      <c r="I26" s="957"/>
      <c r="K26" s="225"/>
      <c r="P26" s="235"/>
      <c r="Q26" s="235"/>
      <c r="R26" s="235"/>
      <c r="S26" s="235"/>
      <c r="T26" s="235"/>
      <c r="U26" s="235"/>
      <c r="V26" s="235"/>
      <c r="W26" s="944"/>
      <c r="X26" s="945"/>
      <c r="Y26" s="946"/>
      <c r="Z26" s="947"/>
      <c r="AA26" s="945"/>
      <c r="AB26" s="945"/>
      <c r="AC26" s="278"/>
      <c r="AD26" s="278"/>
    </row>
    <row r="27" spans="1:30" s="225" customFormat="1" ht="12.75" customHeight="1" x14ac:dyDescent="0.2">
      <c r="A27" s="1152" t="s">
        <v>83</v>
      </c>
      <c r="B27" s="1153"/>
      <c r="C27" s="1153"/>
      <c r="D27" s="1153"/>
      <c r="E27" s="1153"/>
      <c r="F27" s="1153"/>
      <c r="G27" s="1153"/>
      <c r="H27" s="1153"/>
      <c r="I27" s="1154"/>
      <c r="L27" s="234"/>
      <c r="M27" s="234"/>
      <c r="N27" s="234"/>
      <c r="O27" s="234"/>
      <c r="P27" s="235"/>
      <c r="Q27" s="235"/>
      <c r="R27" s="235"/>
      <c r="S27" s="235"/>
      <c r="T27" s="235"/>
      <c r="U27" s="235"/>
      <c r="V27" s="235"/>
      <c r="W27" s="926"/>
      <c r="X27" s="926"/>
      <c r="Y27" s="926"/>
      <c r="Z27" s="926"/>
      <c r="AA27" s="926"/>
      <c r="AB27" s="926"/>
      <c r="AC27" s="715"/>
      <c r="AD27" s="715"/>
    </row>
    <row r="28" spans="1:30" s="225" customFormat="1" ht="12.75" customHeight="1" x14ac:dyDescent="0.2">
      <c r="A28" s="1047"/>
      <c r="B28" s="1048"/>
      <c r="C28" s="1048"/>
      <c r="D28" s="1048"/>
      <c r="E28" s="1048"/>
      <c r="F28" s="1048"/>
      <c r="G28" s="1048"/>
      <c r="H28" s="1048"/>
      <c r="I28" s="1207"/>
      <c r="L28" s="235"/>
      <c r="M28" s="235"/>
      <c r="N28" s="235"/>
      <c r="O28" s="235"/>
      <c r="P28" s="235"/>
      <c r="Q28" s="235"/>
      <c r="R28" s="235"/>
      <c r="S28" s="235"/>
      <c r="T28" s="235"/>
      <c r="U28" s="235"/>
      <c r="V28" s="235"/>
      <c r="W28" s="926"/>
      <c r="X28" s="926"/>
      <c r="Y28" s="926"/>
      <c r="Z28" s="926"/>
      <c r="AA28" s="926"/>
      <c r="AB28" s="926"/>
      <c r="AC28" s="715"/>
      <c r="AD28" s="715"/>
    </row>
    <row r="29" spans="1:30" s="225" customFormat="1" ht="12.75" customHeight="1" x14ac:dyDescent="0.2">
      <c r="A29" s="1047"/>
      <c r="B29" s="1048"/>
      <c r="C29" s="1048"/>
      <c r="D29" s="1048"/>
      <c r="E29" s="1048"/>
      <c r="F29" s="1048"/>
      <c r="G29" s="1048"/>
      <c r="H29" s="1048"/>
      <c r="I29" s="1207"/>
      <c r="L29" s="235"/>
      <c r="M29" s="235"/>
      <c r="N29" s="235"/>
      <c r="O29" s="235"/>
      <c r="P29" s="235"/>
      <c r="Q29" s="235"/>
      <c r="R29" s="235"/>
      <c r="S29" s="235"/>
      <c r="T29" s="235"/>
      <c r="U29" s="235"/>
      <c r="V29" s="235"/>
      <c r="W29" s="944"/>
      <c r="X29" s="945"/>
      <c r="Y29" s="945"/>
      <c r="Z29" s="945"/>
      <c r="AA29" s="945"/>
      <c r="AB29" s="945"/>
      <c r="AC29" s="715"/>
      <c r="AD29" s="715"/>
    </row>
    <row r="30" spans="1:30" s="225" customFormat="1" ht="12.75" customHeight="1" x14ac:dyDescent="0.2">
      <c r="A30" s="1047"/>
      <c r="B30" s="1048"/>
      <c r="C30" s="1048"/>
      <c r="D30" s="1048"/>
      <c r="E30" s="1048"/>
      <c r="F30" s="1048"/>
      <c r="G30" s="1048"/>
      <c r="H30" s="1048"/>
      <c r="I30" s="1207"/>
      <c r="L30" s="235"/>
      <c r="M30" s="235"/>
      <c r="N30" s="235"/>
      <c r="O30" s="235"/>
      <c r="P30" s="235"/>
      <c r="Q30" s="235"/>
      <c r="R30" s="235"/>
      <c r="S30" s="235"/>
      <c r="T30" s="235"/>
      <c r="U30" s="235"/>
      <c r="V30" s="235"/>
      <c r="W30" s="944"/>
      <c r="X30" s="945"/>
      <c r="Y30" s="945"/>
      <c r="Z30" s="945"/>
      <c r="AA30" s="945"/>
      <c r="AB30" s="945"/>
      <c r="AC30" s="715"/>
      <c r="AD30" s="715"/>
    </row>
    <row r="31" spans="1:30" s="225" customFormat="1" ht="12.75" customHeight="1" x14ac:dyDescent="0.2">
      <c r="A31" s="1047"/>
      <c r="B31" s="1048"/>
      <c r="C31" s="1048"/>
      <c r="D31" s="1048"/>
      <c r="E31" s="1048"/>
      <c r="F31" s="1048"/>
      <c r="G31" s="1048"/>
      <c r="H31" s="1048"/>
      <c r="I31" s="1207"/>
      <c r="L31" s="235"/>
      <c r="M31" s="235"/>
      <c r="N31" s="235"/>
      <c r="O31" s="235"/>
      <c r="P31" s="235"/>
      <c r="Q31" s="235"/>
      <c r="R31" s="235"/>
      <c r="S31" s="235"/>
      <c r="T31" s="235"/>
      <c r="U31" s="235"/>
      <c r="V31" s="235"/>
      <c r="W31" s="502"/>
      <c r="X31" s="278"/>
      <c r="Y31" s="278"/>
      <c r="Z31" s="278"/>
      <c r="AA31" s="278"/>
      <c r="AB31" s="278"/>
      <c r="AC31" s="715"/>
      <c r="AD31" s="715"/>
    </row>
    <row r="32" spans="1:30" s="225" customFormat="1" ht="12.75" customHeight="1" x14ac:dyDescent="0.2">
      <c r="A32" s="1047"/>
      <c r="B32" s="1048"/>
      <c r="C32" s="1048"/>
      <c r="D32" s="1048"/>
      <c r="E32" s="1048"/>
      <c r="F32" s="1048"/>
      <c r="G32" s="1048"/>
      <c r="H32" s="1048"/>
      <c r="I32" s="1207"/>
      <c r="L32" s="235"/>
      <c r="M32" s="235"/>
      <c r="N32" s="235"/>
      <c r="O32" s="235"/>
      <c r="P32" s="235"/>
      <c r="Q32" s="235"/>
      <c r="R32" s="235"/>
      <c r="S32" s="235"/>
      <c r="T32" s="235"/>
      <c r="U32" s="235"/>
      <c r="V32" s="235"/>
      <c r="W32" s="502"/>
      <c r="X32" s="278"/>
      <c r="Y32" s="278"/>
      <c r="Z32" s="278"/>
      <c r="AA32" s="278"/>
      <c r="AB32" s="278"/>
      <c r="AC32" s="715"/>
      <c r="AD32" s="715"/>
    </row>
    <row r="33" spans="1:30" s="225" customFormat="1" ht="12.75" customHeight="1" x14ac:dyDescent="0.2">
      <c r="A33" s="1047"/>
      <c r="B33" s="1048"/>
      <c r="C33" s="1048"/>
      <c r="D33" s="1048"/>
      <c r="E33" s="1048"/>
      <c r="F33" s="1048"/>
      <c r="G33" s="1048"/>
      <c r="H33" s="1048"/>
      <c r="I33" s="1207"/>
      <c r="L33" s="235"/>
      <c r="M33" s="235"/>
      <c r="N33" s="235"/>
      <c r="O33" s="235"/>
      <c r="P33" s="235"/>
      <c r="Q33" s="235"/>
      <c r="R33" s="235"/>
      <c r="S33" s="235"/>
      <c r="T33" s="235"/>
      <c r="U33" s="235"/>
      <c r="V33" s="235"/>
      <c r="W33" s="502"/>
      <c r="X33" s="278"/>
      <c r="Y33" s="504"/>
      <c r="Z33" s="504"/>
      <c r="AA33" s="278"/>
      <c r="AB33" s="278"/>
      <c r="AC33" s="715"/>
      <c r="AD33" s="715"/>
    </row>
    <row r="34" spans="1:30" s="225" customFormat="1" ht="12.75" customHeight="1" x14ac:dyDescent="0.2">
      <c r="A34" s="1047"/>
      <c r="B34" s="1048"/>
      <c r="C34" s="1048"/>
      <c r="D34" s="1048"/>
      <c r="E34" s="1048"/>
      <c r="F34" s="1048"/>
      <c r="G34" s="1048"/>
      <c r="H34" s="1048"/>
      <c r="I34" s="1207"/>
      <c r="L34" s="235"/>
      <c r="M34" s="235"/>
      <c r="N34" s="235"/>
      <c r="O34" s="235"/>
      <c r="P34" s="235"/>
      <c r="Q34" s="235"/>
      <c r="R34" s="235"/>
      <c r="S34" s="235"/>
      <c r="T34" s="235"/>
      <c r="U34" s="235"/>
      <c r="V34" s="235"/>
      <c r="W34" s="371"/>
      <c r="X34" s="278"/>
      <c r="Y34" s="505"/>
      <c r="Z34" s="506"/>
      <c r="AA34" s="715"/>
      <c r="AB34" s="715"/>
      <c r="AC34" s="715"/>
      <c r="AD34" s="715"/>
    </row>
    <row r="35" spans="1:30" s="225" customFormat="1" ht="12.75" customHeight="1" x14ac:dyDescent="0.2">
      <c r="A35" s="1047"/>
      <c r="B35" s="1048"/>
      <c r="C35" s="1048"/>
      <c r="D35" s="1048"/>
      <c r="E35" s="1048"/>
      <c r="F35" s="1048"/>
      <c r="G35" s="1048"/>
      <c r="H35" s="1048"/>
      <c r="I35" s="1207"/>
      <c r="L35" s="235"/>
      <c r="M35" s="235"/>
      <c r="N35" s="235"/>
      <c r="O35" s="235"/>
      <c r="P35" s="235"/>
      <c r="Q35" s="235"/>
      <c r="R35" s="235"/>
      <c r="S35" s="235"/>
      <c r="T35" s="235"/>
      <c r="U35" s="235"/>
      <c r="V35" s="235"/>
      <c r="W35" s="371"/>
      <c r="X35" s="278"/>
      <c r="Y35" s="278"/>
      <c r="Z35" s="278"/>
      <c r="AA35" s="278"/>
      <c r="AB35" s="278"/>
      <c r="AC35" s="715"/>
      <c r="AD35" s="715"/>
    </row>
    <row r="36" spans="1:30" s="225" customFormat="1" ht="15" x14ac:dyDescent="0.25">
      <c r="A36" s="1047"/>
      <c r="B36" s="1048"/>
      <c r="C36" s="1048"/>
      <c r="D36" s="1048"/>
      <c r="E36" s="1048"/>
      <c r="F36" s="1048"/>
      <c r="G36" s="1048"/>
      <c r="H36" s="1048"/>
      <c r="I36" s="1207"/>
      <c r="L36" s="235"/>
      <c r="M36" s="235"/>
      <c r="N36" s="235"/>
      <c r="O36" s="235"/>
      <c r="P36" s="235"/>
      <c r="Q36" s="235"/>
      <c r="R36" s="235"/>
      <c r="S36" s="235"/>
      <c r="T36" s="235"/>
      <c r="U36" s="235"/>
      <c r="V36" s="235"/>
      <c r="W36" s="508"/>
      <c r="X36" s="507"/>
      <c r="Y36" s="512"/>
      <c r="Z36" s="1204"/>
      <c r="AA36" s="1204"/>
      <c r="AB36" s="706"/>
      <c r="AC36" s="715"/>
      <c r="AD36" s="715"/>
    </row>
    <row r="37" spans="1:30" s="225" customFormat="1" ht="12.75" customHeight="1" x14ac:dyDescent="0.2">
      <c r="A37" s="1047"/>
      <c r="B37" s="1048"/>
      <c r="C37" s="1048"/>
      <c r="D37" s="1048"/>
      <c r="E37" s="1048"/>
      <c r="F37" s="1048"/>
      <c r="G37" s="1048"/>
      <c r="H37" s="1048"/>
      <c r="I37" s="1207"/>
      <c r="L37" s="235"/>
      <c r="M37" s="235"/>
      <c r="N37" s="235"/>
      <c r="O37" s="235"/>
      <c r="P37" s="235"/>
      <c r="Q37" s="235"/>
      <c r="R37" s="235"/>
      <c r="S37" s="235"/>
      <c r="T37" s="235"/>
      <c r="U37" s="235"/>
      <c r="V37" s="235"/>
      <c r="W37" s="715"/>
      <c r="X37" s="715"/>
      <c r="Y37" s="715"/>
      <c r="Z37" s="715"/>
      <c r="AA37" s="715"/>
      <c r="AB37" s="715"/>
      <c r="AC37" s="715"/>
      <c r="AD37" s="715"/>
    </row>
    <row r="38" spans="1:30" s="225" customFormat="1" ht="12.75" customHeight="1" x14ac:dyDescent="0.2">
      <c r="A38" s="1047"/>
      <c r="B38" s="1048"/>
      <c r="C38" s="1048"/>
      <c r="D38" s="1048"/>
      <c r="E38" s="1048"/>
      <c r="F38" s="1048"/>
      <c r="G38" s="1048"/>
      <c r="H38" s="1048"/>
      <c r="I38" s="1207"/>
      <c r="L38" s="235"/>
      <c r="M38" s="235"/>
      <c r="N38" s="235"/>
      <c r="O38" s="235"/>
      <c r="P38" s="235"/>
      <c r="Q38" s="235"/>
      <c r="R38" s="235"/>
      <c r="S38" s="235"/>
      <c r="T38" s="235"/>
      <c r="U38" s="235"/>
      <c r="V38" s="235"/>
      <c r="W38" s="715"/>
      <c r="X38" s="715"/>
      <c r="Y38" s="715"/>
      <c r="Z38" s="715"/>
      <c r="AA38" s="715"/>
      <c r="AB38" s="715"/>
      <c r="AC38" s="715"/>
      <c r="AD38" s="715"/>
    </row>
    <row r="39" spans="1:30" s="225" customFormat="1" ht="12.75" customHeight="1" x14ac:dyDescent="0.2">
      <c r="A39" s="1047"/>
      <c r="B39" s="1048"/>
      <c r="C39" s="1048"/>
      <c r="D39" s="1048"/>
      <c r="E39" s="1048"/>
      <c r="F39" s="1048"/>
      <c r="G39" s="1048"/>
      <c r="H39" s="1048"/>
      <c r="I39" s="1207"/>
      <c r="L39" s="235"/>
      <c r="M39" s="235"/>
      <c r="N39" s="235"/>
      <c r="O39" s="235"/>
      <c r="P39" s="235"/>
      <c r="Q39" s="235"/>
      <c r="R39" s="235"/>
      <c r="S39" s="235"/>
      <c r="T39" s="235"/>
      <c r="U39" s="235"/>
      <c r="V39" s="235"/>
      <c r="W39" s="715"/>
      <c r="X39" s="715"/>
      <c r="Y39" s="715"/>
      <c r="Z39" s="715"/>
      <c r="AA39" s="715"/>
      <c r="AB39" s="715"/>
      <c r="AC39" s="715"/>
      <c r="AD39" s="715"/>
    </row>
    <row r="40" spans="1:30" s="225" customFormat="1" ht="12.75" customHeight="1" x14ac:dyDescent="0.2">
      <c r="A40" s="1047"/>
      <c r="B40" s="1048"/>
      <c r="C40" s="1048"/>
      <c r="D40" s="1048"/>
      <c r="E40" s="1048"/>
      <c r="F40" s="1048"/>
      <c r="G40" s="1048"/>
      <c r="H40" s="1048"/>
      <c r="I40" s="1207"/>
      <c r="L40" s="235"/>
      <c r="M40" s="235"/>
      <c r="N40" s="235"/>
      <c r="O40" s="235"/>
      <c r="P40" s="235"/>
      <c r="Q40" s="235"/>
      <c r="R40" s="235"/>
      <c r="S40" s="235"/>
      <c r="T40" s="235"/>
      <c r="U40" s="235"/>
      <c r="V40" s="235"/>
      <c r="W40" s="715"/>
      <c r="X40" s="715"/>
      <c r="Y40" s="715"/>
      <c r="Z40" s="715"/>
      <c r="AA40" s="715"/>
      <c r="AB40" s="715"/>
      <c r="AC40" s="715"/>
      <c r="AD40" s="715"/>
    </row>
    <row r="41" spans="1:30" s="225" customFormat="1" ht="12.75" customHeight="1" x14ac:dyDescent="0.2">
      <c r="A41" s="1047"/>
      <c r="B41" s="1048"/>
      <c r="C41" s="1048"/>
      <c r="D41" s="1048"/>
      <c r="E41" s="1048"/>
      <c r="F41" s="1048"/>
      <c r="G41" s="1048"/>
      <c r="H41" s="1048"/>
      <c r="I41" s="1207"/>
      <c r="K41" s="234"/>
      <c r="L41" s="235"/>
      <c r="M41" s="235"/>
      <c r="N41" s="235"/>
      <c r="O41" s="235"/>
      <c r="P41" s="235"/>
      <c r="Q41" s="235"/>
      <c r="R41" s="235"/>
      <c r="S41" s="235"/>
      <c r="T41" s="235"/>
      <c r="U41" s="235"/>
      <c r="V41" s="235"/>
    </row>
    <row r="42" spans="1:30" s="225" customFormat="1" ht="12.75" customHeight="1" x14ac:dyDescent="0.2">
      <c r="A42" s="1047"/>
      <c r="B42" s="1048"/>
      <c r="C42" s="1048"/>
      <c r="D42" s="1048"/>
      <c r="E42" s="1048"/>
      <c r="F42" s="1048"/>
      <c r="G42" s="1048"/>
      <c r="H42" s="1048"/>
      <c r="I42" s="1207"/>
      <c r="K42" s="234"/>
      <c r="L42" s="235"/>
      <c r="M42" s="235"/>
      <c r="N42" s="235"/>
      <c r="O42" s="235"/>
      <c r="P42" s="235"/>
      <c r="Q42" s="235"/>
      <c r="R42" s="235"/>
      <c r="S42" s="235"/>
      <c r="T42" s="235"/>
      <c r="U42" s="235"/>
      <c r="V42" s="235"/>
    </row>
    <row r="43" spans="1:30" s="225" customFormat="1" ht="12.75" customHeight="1" x14ac:dyDescent="0.2">
      <c r="A43" s="1047"/>
      <c r="B43" s="1048"/>
      <c r="C43" s="1048"/>
      <c r="D43" s="1048"/>
      <c r="E43" s="1048"/>
      <c r="F43" s="1048"/>
      <c r="G43" s="1048"/>
      <c r="H43" s="1048"/>
      <c r="I43" s="1207"/>
      <c r="K43" s="235"/>
      <c r="L43" s="235"/>
      <c r="M43" s="235"/>
      <c r="N43" s="235"/>
      <c r="O43" s="235"/>
      <c r="P43" s="235"/>
      <c r="Q43" s="235"/>
      <c r="R43" s="235"/>
      <c r="S43" s="235"/>
      <c r="T43" s="235"/>
      <c r="U43" s="235"/>
      <c r="V43" s="235"/>
    </row>
    <row r="44" spans="1:30" s="234" customFormat="1" ht="12.75" customHeight="1" x14ac:dyDescent="0.2">
      <c r="A44" s="1208"/>
      <c r="B44" s="1209"/>
      <c r="C44" s="1209"/>
      <c r="D44" s="1209"/>
      <c r="E44" s="1209"/>
      <c r="F44" s="1209"/>
      <c r="G44" s="1209"/>
      <c r="H44" s="1209"/>
      <c r="I44" s="1210"/>
      <c r="K44" s="235"/>
      <c r="L44" s="235"/>
      <c r="M44" s="235"/>
      <c r="N44" s="235"/>
      <c r="O44" s="235"/>
      <c r="P44" s="235"/>
      <c r="Q44" s="235"/>
      <c r="R44" s="235"/>
      <c r="S44" s="235"/>
      <c r="T44" s="235"/>
      <c r="U44" s="235"/>
      <c r="V44" s="235"/>
    </row>
    <row r="45" spans="1:30" s="234" customFormat="1" ht="12.75" customHeight="1" x14ac:dyDescent="0.2">
      <c r="A45" s="265"/>
      <c r="B45" s="265"/>
      <c r="C45" s="265"/>
      <c r="D45" s="265"/>
      <c r="E45" s="265"/>
      <c r="F45" s="265"/>
      <c r="G45" s="265"/>
      <c r="H45" s="265"/>
      <c r="I45" s="266"/>
      <c r="K45" s="235"/>
      <c r="L45" s="235"/>
      <c r="M45" s="235"/>
      <c r="N45" s="235"/>
      <c r="O45" s="235"/>
      <c r="P45" s="235"/>
      <c r="Q45" s="235"/>
      <c r="R45" s="235"/>
      <c r="S45" s="235"/>
      <c r="T45" s="235"/>
      <c r="U45" s="235"/>
      <c r="V45" s="235"/>
    </row>
  </sheetData>
  <sheetProtection algorithmName="SHA-512" hashValue="pIw884Hxd+i6be4PJdurD/83i4uxRbbndAZK3SsaAyGTgn7JT2outJVUjLLKprwM4NwnjwVGETB5YEZdEeqJUw==" saltValue="YQ2SGUAsqoAaxjFOpN5RFQ==" spinCount="100000" sheet="1" objects="1" scenarios="1"/>
  <mergeCells count="19">
    <mergeCell ref="Z36:AA36"/>
    <mergeCell ref="L2:M2"/>
    <mergeCell ref="A28:I44"/>
    <mergeCell ref="K7:L7"/>
    <mergeCell ref="A26:I26"/>
    <mergeCell ref="A27:I27"/>
    <mergeCell ref="A10:I10"/>
    <mergeCell ref="C8:I8"/>
    <mergeCell ref="G9:H9"/>
    <mergeCell ref="A8:B8"/>
    <mergeCell ref="C6:I6"/>
    <mergeCell ref="C9:F9"/>
    <mergeCell ref="C7:I7"/>
    <mergeCell ref="A24:B25"/>
    <mergeCell ref="A1:H1"/>
    <mergeCell ref="A2:I2"/>
    <mergeCell ref="C3:I3"/>
    <mergeCell ref="C4:I4"/>
    <mergeCell ref="C5:I5"/>
  </mergeCells>
  <conditionalFormatting sqref="M3:T3">
    <cfRule type="expression" dxfId="11" priority="31">
      <formula>IF($C$8=$L$4,TRUE(),FALSE())</formula>
    </cfRule>
    <cfRule type="expression" dxfId="10" priority="34">
      <formula>IF($C$8=$L$3,TRUE(),FALSE())</formula>
    </cfRule>
  </conditionalFormatting>
  <conditionalFormatting sqref="L4:T4 L3">
    <cfRule type="expression" dxfId="9" priority="33">
      <formula>IF($C$8=$L$4,TRUE(),FALSE())</formula>
    </cfRule>
  </conditionalFormatting>
  <conditionalFormatting sqref="L5:T5">
    <cfRule type="expression" dxfId="8" priority="32">
      <formula>IF($C$8=$L$5,TRUE(),FALSE())</formula>
    </cfRule>
  </conditionalFormatting>
  <conditionalFormatting sqref="W36:AB36">
    <cfRule type="expression" dxfId="7" priority="56">
      <formula>IF(AND(100-((#REF!+#REF!)*100/$F$12)&lt;100,100-((#REF!+#REF!)*100/$F$12)&gt;0),TRUE(),FALSE())</formula>
    </cfRule>
  </conditionalFormatting>
  <conditionalFormatting sqref="A8:B8">
    <cfRule type="cellIs" dxfId="6" priority="63" stopIfTrue="1" operator="equal">
      <formula>$C$8=""</formula>
    </cfRule>
  </conditionalFormatting>
  <dataValidations count="1">
    <dataValidation type="list" allowBlank="1" showInputMessage="1" showErrorMessage="1" sqref="C8:I8">
      <formula1>$L$4:$L$6</formula1>
    </dataValidation>
  </dataValidations>
  <pageMargins left="0.78740157480314965" right="0.59055118110236227" top="0.78740157480314965" bottom="0.59055118110236227" header="0.31496062992125984" footer="0.31496062992125984"/>
  <pageSetup paperSize="9" scale="92" orientation="portrait" r:id="rId1"/>
  <headerFooter alignWithMargins="0">
    <oddHeader>&amp;L&amp;8Ufficio federale dell'agricoltura&amp;R&amp;8Aiuto al calcolo; stato 1.2023</oddHeader>
    <oddFooter>&amp;L&amp;8&amp;D; &amp;T&amp;R&amp;8&amp;A</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2" operator="containsText" id="{CC3DFA61-5AD2-4FD2-94A9-447B99CA2B34}">
            <xm:f>NOT(ISERROR(SEARCH($X$23,A8)))</xm:f>
            <xm:f>$X$23</xm:f>
            <x14:dxf>
              <font>
                <color rgb="FF9C0006"/>
              </font>
              <fill>
                <patternFill>
                  <bgColor rgb="FFFFC7CE"/>
                </patternFill>
              </fill>
            </x14:dxf>
          </x14:cfRule>
          <xm:sqref>A8:B8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30_einzelbetriebliche_massnahmen_2019"/>
    <f:field ref="objsubject" par="" text=""/>
    <f:field ref="objcreatedby" par="" text="Reusser, Samuel, BLW"/>
    <f:field ref="objcreatedat" par="" text="23.10.2018 10:43:06"/>
    <f:field ref="objchangedby" par="" text="Haussener, Ursula, BLW"/>
    <f:field ref="objmodifiedat" par="" text="23.01.2019 16:02:17"/>
    <f:field ref="doc_FSCFOLIO_1_1001_FieldDocumentNumber" par="" text=""/>
    <f:field ref="doc_FSCFOLIO_1_1001_FieldSubject" par="" text=""/>
    <f:field ref="FSCFOLIO_1_1001_FieldCurrentUser" par="" text="BLW Michael Stäuble"/>
    <f:field ref="CCAPRECONFIG_15_1001_Objektname" par="" text="30_einzelbetriebliche_massnahmen_2019"/>
    <f:field ref="CHPRECONFIG_1_1001_Objektname" par="" text="30_einzelbetriebliche_massnahmen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Informazioni importanti</vt:lpstr>
      <vt:lpstr>USM</vt:lpstr>
      <vt:lpstr>20 aiuto iniziale</vt:lpstr>
      <vt:lpstr>30 abitazione</vt:lpstr>
      <vt:lpstr>32+33 suini e poll.</vt:lpstr>
      <vt:lpstr>41 UBGFG</vt:lpstr>
      <vt:lpstr>div. CI</vt:lpstr>
      <vt:lpstr>div. CI &amp; Contributo</vt:lpstr>
      <vt:lpstr>47 edifici alpestre</vt:lpstr>
      <vt:lpstr>73 Obiet. ecol.</vt:lpstr>
      <vt:lpstr>+alt+ 73 ÖkoZiele (ohne Zuschl)</vt:lpstr>
      <vt:lpstr>'+alt+ 73 ÖkoZiele (ohne Zuschl)'!Druckbereich</vt:lpstr>
      <vt:lpstr>'20 aiuto iniziale'!Druckbereich</vt:lpstr>
      <vt:lpstr>'30 abitazione'!Druckbereich</vt:lpstr>
      <vt:lpstr>'32+33 suini e poll.'!Druckbereich</vt:lpstr>
      <vt:lpstr>'41 UBGFG'!Druckbereich</vt:lpstr>
      <vt:lpstr>'47 edifici alpestre'!Druckbereich</vt:lpstr>
      <vt:lpstr>'73 Obiet. ecol.'!Druckbereich</vt:lpstr>
      <vt:lpstr>'div. CI'!Druckbereich</vt:lpstr>
      <vt:lpstr>'div. CI &amp; Contributo'!Druckbereich</vt:lpstr>
      <vt:lpstr>USM!Druckbereich</vt:lpstr>
    </vt:vector>
  </TitlesOfParts>
  <Company>BLW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Stäuble BLW</dc:creator>
  <dc:description>Anpassung SAK</dc:description>
  <cp:lastModifiedBy>Michael Stäuble BLW</cp:lastModifiedBy>
  <cp:lastPrinted>2023-01-12T06:50:07Z</cp:lastPrinted>
  <dcterms:created xsi:type="dcterms:W3CDTF">2005-06-28T08:20:52Z</dcterms:created>
  <dcterms:modified xsi:type="dcterms:W3CDTF">2023-01-26T16:11:25Z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4</vt:lpwstr>
  </property>
  <property fmtid="{D5CDD505-2E9C-101B-9397-08002B2CF9AE}" pid="5" name="FSC#EVDCFG@15.1400:ActualVersionCreatedAt">
    <vt:lpwstr>2019-01-23T16:01:45</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Reusser</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023.47</vt:lpwstr>
  </property>
  <property fmtid="{D5CDD505-2E9C-101B-9397-08002B2CF9AE}" pid="20" name="FSC#EVDCFG@15.1400:Dossierref">
    <vt:lpwstr>023.47-07320</vt:lpwstr>
  </property>
  <property fmtid="{D5CDD505-2E9C-101B-9397-08002B2CF9AE}" pid="21" name="FSC#EVDCFG@15.1400:FileRespEmail">
    <vt:lpwstr>samuel.reusser@blw.admin.ch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Samuel Reusser</vt:lpwstr>
  </property>
  <property fmtid="{D5CDD505-2E9C-101B-9397-08002B2CF9AE}" pid="25" name="FSC#EVDCFG@15.1400:UserInCharge">
    <vt:lpwstr/>
  </property>
  <property fmtid="{D5CDD505-2E9C-101B-9397-08002B2CF9AE}" pid="26" name="FSC#EVDCFG@15.1400:FileRespOrg">
    <vt:lpwstr>Betriebsentwicklung und Bodenrecht</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rsa</vt:lpwstr>
  </property>
  <property fmtid="{D5CDD505-2E9C-101B-9397-08002B2CF9AE}" pid="31" name="FSC#EVDCFG@15.1400:FileRespStreet">
    <vt:lpwstr>Schwarzenburgstrasse 165</vt:lpwstr>
  </property>
  <property fmtid="{D5CDD505-2E9C-101B-9397-08002B2CF9AE}" pid="32" name="FSC#EVDCFG@15.1400:FileRespTel">
    <vt:lpwstr>+41 58 462 26 65</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30_einzelbetriebliche_massnahmen_2019</vt:lpwstr>
  </property>
  <property fmtid="{D5CDD505-2E9C-101B-9397-08002B2CF9AE}" pid="47" name="FSC#EVDCFG@15.1400:UserFunction">
    <vt:lpwstr>Sachbearbeiter/in - FBBE / BLW</vt:lpwstr>
  </property>
  <property fmtid="{D5CDD505-2E9C-101B-9397-08002B2CF9AE}" pid="48" name="FSC#EVDCFG@15.1400:SalutationEnglish">
    <vt:lpwstr>Business Developement Unit</vt:lpwstr>
  </property>
  <property fmtid="{D5CDD505-2E9C-101B-9397-08002B2CF9AE}" pid="49" name="FSC#EVDCFG@15.1400:SalutationFrench">
    <vt:lpwstr>Secteur Développement des exploitations</vt:lpwstr>
  </property>
  <property fmtid="{D5CDD505-2E9C-101B-9397-08002B2CF9AE}" pid="50" name="FSC#EVDCFG@15.1400:SalutationGerman">
    <vt:lpwstr>Fachbereich Betriebsentwicklung</vt:lpwstr>
  </property>
  <property fmtid="{D5CDD505-2E9C-101B-9397-08002B2CF9AE}" pid="51" name="FSC#EVDCFG@15.1400:SalutationItalian">
    <vt:lpwstr>Settore Sviluppo delle aziende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FBBB / BLW</vt:lpwstr>
  </property>
  <property fmtid="{D5CDD505-2E9C-101B-9397-08002B2CF9AE}" pid="57" name="FSC#EVDCFG@15.1400:ResponsibleEditorFirstname">
    <vt:lpwstr>Samuel</vt:lpwstr>
  </property>
  <property fmtid="{D5CDD505-2E9C-101B-9397-08002B2CF9AE}" pid="58" name="FSC#EVDCFG@15.1400:ResponsibleEditorSurname">
    <vt:lpwstr>Reusser</vt:lpwstr>
  </property>
  <property fmtid="{D5CDD505-2E9C-101B-9397-08002B2CF9AE}" pid="59" name="FSC#EVDCFG@15.1400:GroupTitle">
    <vt:lpwstr>Betriebsentwicklung und Bodenrecht</vt:lpwstr>
  </property>
  <property fmtid="{D5CDD505-2E9C-101B-9397-08002B2CF9AE}" pid="60" name="FSC#COOELAK@1.1001:Subject">
    <vt:lpwstr>Administratives FB Betriebsentwicklung 2004 - 2015</vt:lpwstr>
  </property>
  <property fmtid="{D5CDD505-2E9C-101B-9397-08002B2CF9AE}" pid="61" name="FSC#COOELAK@1.1001:FileReference">
    <vt:lpwstr>023.47-07320</vt:lpwstr>
  </property>
  <property fmtid="{D5CDD505-2E9C-101B-9397-08002B2CF9AE}" pid="62" name="FSC#COOELAK@1.1001:FileRefYear">
    <vt:lpwstr>2004</vt:lpwstr>
  </property>
  <property fmtid="{D5CDD505-2E9C-101B-9397-08002B2CF9AE}" pid="63" name="FSC#COOELAK@1.1001:FileRefOrdinal">
    <vt:lpwstr>7320</vt:lpwstr>
  </property>
  <property fmtid="{D5CDD505-2E9C-101B-9397-08002B2CF9AE}" pid="64" name="FSC#COOELAK@1.1001:FileRefOU">
    <vt:lpwstr>BLW</vt:lpwstr>
  </property>
  <property fmtid="{D5CDD505-2E9C-101B-9397-08002B2CF9AE}" pid="65" name="FSC#COOELAK@1.1001:Organization">
    <vt:lpwstr/>
  </property>
  <property fmtid="{D5CDD505-2E9C-101B-9397-08002B2CF9AE}" pid="66" name="FSC#COOELAK@1.1001:Owner">
    <vt:lpwstr>Reusser Samuel, BLW</vt:lpwstr>
  </property>
  <property fmtid="{D5CDD505-2E9C-101B-9397-08002B2CF9AE}" pid="67" name="FSC#COOELAK@1.1001:OwnerExtension">
    <vt:lpwstr>+41 58 462 26 65</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Betriebsentwicklung und Bodenrecht (FBBB / BLW)</vt:lpwstr>
  </property>
  <property fmtid="{D5CDD505-2E9C-101B-9397-08002B2CF9AE}" pid="74" name="FSC#COOELAK@1.1001:CreatedAt">
    <vt:lpwstr>23.10.2018</vt:lpwstr>
  </property>
  <property fmtid="{D5CDD505-2E9C-101B-9397-08002B2CF9AE}" pid="75" name="FSC#COOELAK@1.1001:OU">
    <vt:lpwstr>Betriebsentwicklung und Bodenrecht (FBBB / BLW)</vt:lpwstr>
  </property>
  <property fmtid="{D5CDD505-2E9C-101B-9397-08002B2CF9AE}" pid="76" name="FSC#COOELAK@1.1001:Priority">
    <vt:lpwstr> ()</vt:lpwstr>
  </property>
  <property fmtid="{D5CDD505-2E9C-101B-9397-08002B2CF9AE}" pid="77" name="FSC#COOELAK@1.1001:ObjBarCode">
    <vt:lpwstr>*COO.2101.101.7.1337501*</vt:lpwstr>
  </property>
  <property fmtid="{D5CDD505-2E9C-101B-9397-08002B2CF9AE}" pid="78" name="FSC#COOELAK@1.1001:RefBarCode">
    <vt:lpwstr>*COO.2101.101.6.1442038*</vt:lpwstr>
  </property>
  <property fmtid="{D5CDD505-2E9C-101B-9397-08002B2CF9AE}" pid="79" name="FSC#COOELAK@1.1001:FileRefBarCode">
    <vt:lpwstr>*023.47-07320*</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023.47</vt:lpwstr>
  </property>
  <property fmtid="{D5CDD505-2E9C-101B-9397-08002B2CF9AE}" pid="93" name="FSC#COOELAK@1.1001:CurrentUserRolePos">
    <vt:lpwstr>Sachbearbeiter/in</vt:lpwstr>
  </property>
  <property fmtid="{D5CDD505-2E9C-101B-9397-08002B2CF9AE}" pid="94" name="FSC#COOELAK@1.1001:CurrentUserEmail">
    <vt:lpwstr>michael.staeuble@blw.admin.ch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Samuel Reusser</vt:lpwstr>
  </property>
  <property fmtid="{D5CDD505-2E9C-101B-9397-08002B2CF9AE}" pid="102" name="FSC#ATSTATECFG@1.1001:AgentPhone">
    <vt:lpwstr>+41 58 462 26 65</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023.47-07320/00025/00006/00001</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COO.2101.101.7.1337501</vt:lpwstr>
  </property>
  <property fmtid="{D5CDD505-2E9C-101B-9397-08002B2CF9AE}" pid="148" name="FSC#FSCFOLIO@1.1001:docpropproject">
    <vt:lpwstr/>
  </property>
</Properties>
</file>